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5.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2.xml" ContentType="application/vnd.openxmlformats-officedocument.spreadsheetml.comments+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omments3.xml" ContentType="application/vnd.openxmlformats-officedocument.spreadsheetml.comments+xml"/>
  <Override PartName="/xl/drawings/drawing6.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7.xml" ContentType="application/vnd.openxmlformats-officedocument.drawing+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S:\Concurrent Engineering Workshop January 2020\Working Material\Propulsion\"/>
    </mc:Choice>
  </mc:AlternateContent>
  <bookViews>
    <workbookView minimized="1" xWindow="0" yWindow="0" windowWidth="28800" windowHeight="11730" tabRatio="782" firstSheet="1" activeTab="1"/>
  </bookViews>
  <sheets>
    <sheet name="Workbook Description" sheetId="1" state="hidden" r:id="rId1"/>
    <sheet name="Cover" sheetId="17" r:id="rId2"/>
    <sheet name="Change Log" sheetId="10" r:id="rId3"/>
    <sheet name="Objectives" sheetId="16" r:id="rId4"/>
    <sheet name="Chemical Propulsion - Sizing" sheetId="4" r:id="rId5"/>
    <sheet name="Electric Propulsion - Sizing" sheetId="5" r:id="rId6"/>
    <sheet name="Modes" sheetId="12" r:id="rId7"/>
    <sheet name="ProductTreeMain" sheetId="13" r:id="rId8"/>
    <sheet name="Trade_off" sheetId="15" r:id="rId9"/>
    <sheet name="Constants" sheetId="9" r:id="rId10"/>
  </sheets>
  <functionGroups builtInGroupCount="18"/>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1AU" localSheetId="1">#REF!</definedName>
    <definedName name="_1AU" localSheetId="3">#REF!</definedName>
    <definedName name="_1AU" localSheetId="7">#REF!</definedName>
    <definedName name="_1AU" localSheetId="8">#REF!</definedName>
    <definedName name="_1AU">#REF!</definedName>
    <definedName name="_ConCORDE_Info_">#REF!</definedName>
    <definedName name="_DomainOfExpertise_">#REF!</definedName>
    <definedName name="_ecc2" localSheetId="1">#REF!</definedName>
    <definedName name="_ecc2" localSheetId="8">#REF!</definedName>
    <definedName name="_ecc2">#REF!</definedName>
    <definedName name="_EngineeringModel_">#REF!</definedName>
    <definedName name="_IterationNumber_">#REF!</definedName>
    <definedName name="_IterationRevision_">#REF!</definedName>
    <definedName name="_LastModifiedOn_">#REF!</definedName>
    <definedName name="_Person_">#REF!</definedName>
    <definedName name="absolute_zero" localSheetId="1">#REF!</definedName>
    <definedName name="absolute_zero" localSheetId="3">#REF!</definedName>
    <definedName name="absolute_zero" localSheetId="7">#REF!</definedName>
    <definedName name="absolute_zero" localSheetId="8">#REF!</definedName>
    <definedName name="absolute_zero">#REF!</definedName>
    <definedName name="anscount" hidden="1">6</definedName>
    <definedName name="AOGNC\m\\">[1]Parameters!$I$2</definedName>
    <definedName name="AOGNC\P\\">[1]Parameters!$I$4</definedName>
    <definedName name="AOGNC\P_duty_cyc\\">[1]Parameters!$I$5</definedName>
    <definedName name="Aperture_diameter">'[2]Obs Payload - Optics'!$D$35</definedName>
    <definedName name="atto" localSheetId="1">#REF!</definedName>
    <definedName name="atto" localSheetId="3">#REF!</definedName>
    <definedName name="atto" localSheetId="7">#REF!</definedName>
    <definedName name="atto" localSheetId="8">#REF!</definedName>
    <definedName name="atto">#REF!</definedName>
    <definedName name="AU" localSheetId="3">#REF!</definedName>
    <definedName name="AU" localSheetId="8">#REF!</definedName>
    <definedName name="AU">Constants!$AF$47</definedName>
    <definedName name="Author">" "</definedName>
    <definedName name="Avg_Solar_Flux">Constants!$B$33</definedName>
    <definedName name="bmsAddress">""</definedName>
    <definedName name="bmsPhoneFax">""</definedName>
    <definedName name="bmsSitename">""</definedName>
    <definedName name="bmsSitename2">""</definedName>
    <definedName name="Boltzmann_Constant" localSheetId="9">Constants!$B$3</definedName>
    <definedName name="Boltzmann_Constant" localSheetId="3">[3]Constants!$B$3</definedName>
    <definedName name="Boltzmann_Constant" localSheetId="7">#REF!</definedName>
    <definedName name="Boltzmann_Constant" localSheetId="8">[3]Constants!$B$3</definedName>
    <definedName name="Boltzmann_Constant">Constants!$B$3</definedName>
    <definedName name="Burn_duration">'Electric Propulsion - Sizing'!$D$14</definedName>
    <definedName name="c0" localSheetId="3">#REF!</definedName>
    <definedName name="c0">Constants!$B$1</definedName>
    <definedName name="CDH\m\\">[1]Parameters!$I$6</definedName>
    <definedName name="CDH\P\\">[1]Parameters!$I$8</definedName>
    <definedName name="CDH\P_duty_cyc\\">[1]Parameters!$I$9</definedName>
    <definedName name="cellname_SUB_aa">[4]Subsystem!$B$13</definedName>
    <definedName name="cellname_SUB_bb">[4]Subsystem!$B$10</definedName>
    <definedName name="cellname_SUB_cc">[4]Subsystem!$B$11</definedName>
    <definedName name="cellname_SUB_dd">[4]Subsystem!$B$12</definedName>
    <definedName name="centi" localSheetId="1">#REF!</definedName>
    <definedName name="centi" localSheetId="3">#REF!</definedName>
    <definedName name="centi" localSheetId="7">#REF!</definedName>
    <definedName name="centi" localSheetId="8">#REF!</definedName>
    <definedName name="centi">#REF!</definedName>
    <definedName name="Chemical_propellant_mass">'Chemical Propulsion - Sizing'!$H$22</definedName>
    <definedName name="Chemical_Thrust">'Chemical Propulsion - Sizing'!$H$25</definedName>
    <definedName name="Classification">"ESA UNCLASSIFIED - For Official Use"</definedName>
    <definedName name="Classification_Caveat">" "</definedName>
    <definedName name="COMM\m\\">[1]Parameters!$I$10</definedName>
    <definedName name="COMM\P\\">[1]Parameters!$I$12</definedName>
    <definedName name="COMM\P_duty_cyc\\">[1]Parameters!$I$13</definedName>
    <definedName name="Comments">" "</definedName>
    <definedName name="Company">"ESA"</definedName>
    <definedName name="conversion_inch2m" localSheetId="1">#REF!</definedName>
    <definedName name="conversion_inch2m" localSheetId="7">#REF!</definedName>
    <definedName name="conversion_inch2m" localSheetId="8">#REF!</definedName>
    <definedName name="conversion_inch2m">#REF!</definedName>
    <definedName name="Current_Magnetic_Torquer" localSheetId="3">'[5]Attitude Control - Sizing'!$Q$66</definedName>
    <definedName name="Current_Magnetic_Torquer">'[6]Attitude Control - Sizing'!$Q$66</definedName>
    <definedName name="DBname" localSheetId="1">#REF!</definedName>
    <definedName name="DBname" localSheetId="3">#REF!</definedName>
    <definedName name="DBname" localSheetId="7">#REF!</definedName>
    <definedName name="DBname" localSheetId="8">#REF!</definedName>
    <definedName name="DBname">#REF!</definedName>
    <definedName name="deci" localSheetId="1">#REF!</definedName>
    <definedName name="deci" localSheetId="7">#REF!</definedName>
    <definedName name="deci" localSheetId="8">#REF!</definedName>
    <definedName name="deci">#REF!</definedName>
    <definedName name="deg" localSheetId="1">#REF!</definedName>
    <definedName name="deg" localSheetId="8">#REF!</definedName>
    <definedName name="deg">#REF!</definedName>
    <definedName name="degpermin" localSheetId="1">#REF!</definedName>
    <definedName name="degpermin" localSheetId="8">#REF!</definedName>
    <definedName name="degpermin">#REF!</definedName>
    <definedName name="degpermin2" localSheetId="1">#REF!</definedName>
    <definedName name="degpermin2" localSheetId="8">#REF!</definedName>
    <definedName name="degpermin2">#REF!</definedName>
    <definedName name="deka" localSheetId="1">#REF!</definedName>
    <definedName name="deka" localSheetId="7">#REF!</definedName>
    <definedName name="deka" localSheetId="8">#REF!</definedName>
    <definedName name="deka">#REF!</definedName>
    <definedName name="departureplanet_OrbitRadius">[7]Constants!$B$9</definedName>
    <definedName name="Distribution">" "</definedName>
    <definedName name="Document_type">" "</definedName>
    <definedName name="Earth_conv_IGRF_radi" localSheetId="1">#REF!</definedName>
    <definedName name="Earth_conv_IGRF_radi" localSheetId="7">#REF!</definedName>
    <definedName name="Earth_conv_IGRF_radi" localSheetId="8">#REF!</definedName>
    <definedName name="Earth_conv_IGRF_radi">#REF!</definedName>
    <definedName name="Earth_dyn_form_factor" localSheetId="1">#REF!</definedName>
    <definedName name="Earth_dyn_form_factor" localSheetId="7">#REF!</definedName>
    <definedName name="Earth_dyn_form_factor" localSheetId="8">#REF!</definedName>
    <definedName name="Earth_dyn_form_factor">#REF!</definedName>
    <definedName name="Earth_equator_radi" localSheetId="1">#REF!</definedName>
    <definedName name="Earth_equator_radi" localSheetId="7">#REF!</definedName>
    <definedName name="Earth_equator_radi" localSheetId="8">#REF!</definedName>
    <definedName name="Earth_equator_radi">#REF!</definedName>
    <definedName name="Earth_flattening_factor" localSheetId="1">#REF!</definedName>
    <definedName name="Earth_flattening_factor" localSheetId="7">#REF!</definedName>
    <definedName name="Earth_flattening_factor" localSheetId="8">#REF!</definedName>
    <definedName name="Earth_flattening_factor">#REF!</definedName>
    <definedName name="Earth_J2" localSheetId="9">Constants!$B$20</definedName>
    <definedName name="Earth_J2" localSheetId="3">[8]Constants!#REF!</definedName>
    <definedName name="Earth_J2" localSheetId="7">#REF!</definedName>
    <definedName name="Earth_J2" localSheetId="8">#REF!</definedName>
    <definedName name="Earth_J2">Constants!$B$20</definedName>
    <definedName name="Earth_Mag_Moment" localSheetId="9">Constants!$B$28</definedName>
    <definedName name="Earth_Mag_Moment" localSheetId="6">[6]Constants!$B$28</definedName>
    <definedName name="Earth_Mag_Moment" localSheetId="3">[8]Constants!#REF!</definedName>
    <definedName name="Earth_Mag_Moment" localSheetId="7">#REF!</definedName>
    <definedName name="Earth_Mag_Moment" localSheetId="8">#REF!</definedName>
    <definedName name="Earth_Mag_Moment">Constants!$B$28</definedName>
    <definedName name="Earth_mass" localSheetId="1">#REF!</definedName>
    <definedName name="Earth_mass" localSheetId="3">#REF!</definedName>
    <definedName name="Earth_mass" localSheetId="7">#REF!</definedName>
    <definedName name="Earth_mass" localSheetId="8">#REF!</definedName>
    <definedName name="Earth_mass">#REF!</definedName>
    <definedName name="Earth_mean_radi" localSheetId="1">#REF!</definedName>
    <definedName name="Earth_mean_radi" localSheetId="7">#REF!</definedName>
    <definedName name="Earth_mean_radi" localSheetId="8">#REF!</definedName>
    <definedName name="Earth_mean_radi">#REF!</definedName>
    <definedName name="Earth_Mu" localSheetId="9">Constants!$B$12</definedName>
    <definedName name="Earth_Mu" localSheetId="1">[9]Constants!$B$12</definedName>
    <definedName name="Earth_Mu" localSheetId="6">[6]Constants!$B$12</definedName>
    <definedName name="Earth_Mu" localSheetId="3">[5]Constants!$B$12</definedName>
    <definedName name="Earth_Mu" localSheetId="7">[10]Constants!$B$7</definedName>
    <definedName name="Earth_Mu" localSheetId="8">[11]Constants!$B$12</definedName>
    <definedName name="Earth_Mu">Constants!$B$12</definedName>
    <definedName name="Earth_obl_coeff" localSheetId="1">#REF!</definedName>
    <definedName name="Earth_obl_coeff" localSheetId="3">#REF!</definedName>
    <definedName name="Earth_obl_coeff" localSheetId="7">#REF!</definedName>
    <definedName name="Earth_obl_coeff" localSheetId="8">#REF!</definedName>
    <definedName name="Earth_obl_coeff">#REF!</definedName>
    <definedName name="Earth_OrbitRadius" localSheetId="3">[12]Constants!$B$9</definedName>
    <definedName name="Earth_OrbitRadius">Constants!$B$9</definedName>
    <definedName name="Earth_OrbPeriod">Constants!$B$10</definedName>
    <definedName name="Earth_pole_radi" localSheetId="1">#REF!</definedName>
    <definedName name="Earth_pole_radi" localSheetId="3">#REF!</definedName>
    <definedName name="Earth_pole_radi" localSheetId="7">#REF!</definedName>
    <definedName name="Earth_pole_radi" localSheetId="8">#REF!</definedName>
    <definedName name="Earth_pole_radi">#REF!</definedName>
    <definedName name="Earth_Radius" localSheetId="9">Constants!$B$11</definedName>
    <definedName name="Earth_Radius" localSheetId="1">[9]Constants!$B$11</definedName>
    <definedName name="Earth_Radius" localSheetId="6">[6]Constants!$B$11</definedName>
    <definedName name="Earth_Radius" localSheetId="3">[5]Constants!$B$11</definedName>
    <definedName name="Earth_Radius" localSheetId="7">[10]Constants!$B$6</definedName>
    <definedName name="Earth_Radius" localSheetId="8">[11]Constants!$B$11</definedName>
    <definedName name="Earth_Radius">Constants!$B$11</definedName>
    <definedName name="Earth_rotation_rate" localSheetId="1">#REF!</definedName>
    <definedName name="Earth_rotation_rate" localSheetId="3">#REF!</definedName>
    <definedName name="Earth_rotation_rate" localSheetId="7">#REF!</definedName>
    <definedName name="Earth_rotation_rate" localSheetId="8">#REF!</definedName>
    <definedName name="Earth_rotation_rate">#REF!</definedName>
    <definedName name="Earth_SidDay">Constants!$B$13</definedName>
    <definedName name="Earth_SolarDay" localSheetId="3">[7]Constants!$B$14</definedName>
    <definedName name="Earth_SolarDay">Constants!$B$14</definedName>
    <definedName name="Earth_Vel" localSheetId="9">Constants!$B$27</definedName>
    <definedName name="Earth_Vel" localSheetId="3">[8]Constants!#REF!</definedName>
    <definedName name="Earth_Vel" localSheetId="7">#REF!</definedName>
    <definedName name="Earth_Vel" localSheetId="8">#REF!</definedName>
    <definedName name="Earth_Vel">Constants!$B$27</definedName>
    <definedName name="ecc" localSheetId="1">#REF!</definedName>
    <definedName name="ecc" localSheetId="3">#REF!</definedName>
    <definedName name="ecc" localSheetId="8">#REF!</definedName>
    <definedName name="ecc">#REF!</definedName>
    <definedName name="Electric_propellant_mass">'Electric Propulsion - Sizing'!$H$18</definedName>
    <definedName name="Electric_Thrust">'Electric Propulsion - Sizing'!$H$22</definedName>
    <definedName name="elementary_charge" localSheetId="1">#REF!</definedName>
    <definedName name="elementary_charge" localSheetId="3">#REF!</definedName>
    <definedName name="elementary_charge" localSheetId="7">#REF!</definedName>
    <definedName name="elementary_charge" localSheetId="8">#REF!</definedName>
    <definedName name="elementary_charge">#REF!</definedName>
    <definedName name="EPS\m\\">[1]Parameters!$I$14</definedName>
    <definedName name="EPS\P\\">[1]Parameters!$I$16</definedName>
    <definedName name="EPS\P_duty_cyc\\">[1]Parameters!$I$17</definedName>
    <definedName name="exa" localSheetId="1">#REF!</definedName>
    <definedName name="exa" localSheetId="3">#REF!</definedName>
    <definedName name="exa" localSheetId="7">#REF!</definedName>
    <definedName name="exa" localSheetId="8">#REF!</definedName>
    <definedName name="exa">#REF!</definedName>
    <definedName name="femto" localSheetId="1">#REF!</definedName>
    <definedName name="femto" localSheetId="7">#REF!</definedName>
    <definedName name="femto" localSheetId="8">#REF!</definedName>
    <definedName name="femto">#REF!</definedName>
    <definedName name="Focal_length">'[2]Obs Payload - Optics'!$D$36</definedName>
    <definedName name="Fuel_tank_volume">'Chemical Propulsion - Sizing'!$H$76</definedName>
    <definedName name="g" localSheetId="1">#REF!</definedName>
    <definedName name="g" localSheetId="3">#REF!</definedName>
    <definedName name="g" localSheetId="7">#REF!</definedName>
    <definedName name="g" localSheetId="8">#REF!</definedName>
    <definedName name="g">#REF!</definedName>
    <definedName name="G_Universal" localSheetId="1">#REF!</definedName>
    <definedName name="G_Universal" localSheetId="7">#REF!</definedName>
    <definedName name="G_Universal" localSheetId="8">#REF!</definedName>
    <definedName name="G_Universal">#REF!</definedName>
    <definedName name="giga" localSheetId="1">#REF!</definedName>
    <definedName name="giga" localSheetId="7">#REF!</definedName>
    <definedName name="giga" localSheetId="8">#REF!</definedName>
    <definedName name="giga">#REF!</definedName>
    <definedName name="GM_Earth" localSheetId="1">#REF!</definedName>
    <definedName name="GM_Earth" localSheetId="7">#REF!</definedName>
    <definedName name="GM_Earth" localSheetId="8">#REF!</definedName>
    <definedName name="GM_Earth">#REF!</definedName>
    <definedName name="GM_Mars" localSheetId="1">#REF!</definedName>
    <definedName name="GM_Mars" localSheetId="7">#REF!</definedName>
    <definedName name="GM_Mars" localSheetId="8">#REF!</definedName>
    <definedName name="GM_Mars">#REF!</definedName>
    <definedName name="GM_Moon" localSheetId="1">#REF!</definedName>
    <definedName name="GM_Moon" localSheetId="7">#REF!</definedName>
    <definedName name="GM_Moon" localSheetId="8">#REF!</definedName>
    <definedName name="GM_Moon">#REF!</definedName>
    <definedName name="GM_Sun" localSheetId="1">#REF!</definedName>
    <definedName name="GM_Sun" localSheetId="7">#REF!</definedName>
    <definedName name="GM_Sun" localSheetId="8">#REF!</definedName>
    <definedName name="GM_Sun">#REF!</definedName>
    <definedName name="hecto" localSheetId="1">#REF!</definedName>
    <definedName name="hecto" localSheetId="7">#REF!</definedName>
    <definedName name="hecto" localSheetId="8">#REF!</definedName>
    <definedName name="hecto">#REF!</definedName>
    <definedName name="hgeo" localSheetId="1">#REF!</definedName>
    <definedName name="hgeo" localSheetId="8">#REF!</definedName>
    <definedName name="hgeo">#REF!</definedName>
    <definedName name="HTML_CodePage" hidden="1">1252</definedName>
    <definedName name="HTML_Control" localSheetId="1" hidden="1">{"'honey'!$A$1:$M$23"}</definedName>
    <definedName name="HTML_Control" localSheetId="6" hidden="1">{"'honey'!$A$1:$M$23"}</definedName>
    <definedName name="HTML_Control" localSheetId="3" hidden="1">{"'honey'!$A$1:$M$23"}</definedName>
    <definedName name="HTML_Control" localSheetId="7" hidden="1">{"'honey'!$A$1:$M$23"}</definedName>
    <definedName name="HTML_Control" localSheetId="8" hidden="1">{"'honey'!$A$1:$M$23"}</definedName>
    <definedName name="HTML_Control" hidden="1">{"'honey'!$A$1:$M$23"}</definedName>
    <definedName name="HTML_Controlbis" localSheetId="1" hidden="1">{"'honey'!$A$1:$M$23"}</definedName>
    <definedName name="HTML_Controlbis" localSheetId="6" hidden="1">{"'honey'!$A$1:$M$23"}</definedName>
    <definedName name="HTML_Controlbis" localSheetId="3" hidden="1">{"'honey'!$A$1:$M$23"}</definedName>
    <definedName name="HTML_Controlbis" localSheetId="7" hidden="1">{"'honey'!$A$1:$M$23"}</definedName>
    <definedName name="HTML_Controlbis" localSheetId="8" hidden="1">{"'honey'!$A$1:$M$23"}</definedName>
    <definedName name="HTML_Controlbis" hidden="1">{"'honey'!$A$1:$M$23"}</definedName>
    <definedName name="HTML_Description" hidden="1">""</definedName>
    <definedName name="HTML_Email" hidden="1">""</definedName>
    <definedName name="HTML_Header" hidden="1">"honey"</definedName>
    <definedName name="HTML_LastUpdate" hidden="1">"24/11/97"</definedName>
    <definedName name="HTML_LineAfter" hidden="1">TRUE</definedName>
    <definedName name="HTML_LineBefore" hidden="1">TRUE</definedName>
    <definedName name="HTML_Name" hidden="1">"Philippe Poinas"</definedName>
    <definedName name="HTML_OBDlg2" hidden="1">TRUE</definedName>
    <definedName name="HTML_OBDlg4" hidden="1">TRUE</definedName>
    <definedName name="HTML_OS" hidden="1">0</definedName>
    <definedName name="HTML_PathFile" hidden="1">"H:\philippe\etc\kermesse\y97\exceltest.html"</definedName>
    <definedName name="HTML_Title" hidden="1">"thermal"</definedName>
    <definedName name="inc" localSheetId="1">#REF!</definedName>
    <definedName name="inc" localSheetId="8">#REF!</definedName>
    <definedName name="inc">#REF!</definedName>
    <definedName name="INS\m\\">[1]Parameters!$I$18</definedName>
    <definedName name="INS\P\\">[1]Parameters!$I$20</definedName>
    <definedName name="INS\P_duty_cyc\\">[1]Parameters!$I$21</definedName>
    <definedName name="Issue">"16/07/2018"</definedName>
    <definedName name="Issue_Date" localSheetId="7">"01/01/2000"</definedName>
    <definedName name="Issue_Date">" "</definedName>
    <definedName name="jtwo" localSheetId="1">#REF!</definedName>
    <definedName name="jtwo" localSheetId="3">#REF!</definedName>
    <definedName name="jtwo" localSheetId="8">#REF!</definedName>
    <definedName name="jtwo">#REF!</definedName>
    <definedName name="K" localSheetId="1">#REF!</definedName>
    <definedName name="K" localSheetId="8">#REF!</definedName>
    <definedName name="K">#REF!</definedName>
    <definedName name="kb" localSheetId="1">#REF!</definedName>
    <definedName name="kb" localSheetId="8">#REF!</definedName>
    <definedName name="kb">#REF!</definedName>
    <definedName name="Keywords">" "</definedName>
    <definedName name="kilo" localSheetId="1">#REF!</definedName>
    <definedName name="kilo" localSheetId="6">#REF!</definedName>
    <definedName name="kilo" localSheetId="3">#REF!</definedName>
    <definedName name="kilo" localSheetId="7">#REF!</definedName>
    <definedName name="kilo" localSheetId="8">#REF!</definedName>
    <definedName name="kilo">#REF!</definedName>
    <definedName name="Knudot" localSheetId="1">#REF!</definedName>
    <definedName name="Knudot" localSheetId="8">#REF!</definedName>
    <definedName name="Knudot">#REF!</definedName>
    <definedName name="Knudot2" localSheetId="1">#REF!</definedName>
    <definedName name="Knudot2" localSheetId="8">#REF!</definedName>
    <definedName name="Knudot2">#REF!</definedName>
    <definedName name="light_year" localSheetId="1">#REF!</definedName>
    <definedName name="light_year" localSheetId="6">#REF!</definedName>
    <definedName name="light_year" localSheetId="7">#REF!</definedName>
    <definedName name="light_year" localSheetId="8">#REF!</definedName>
    <definedName name="light_year">#REF!</definedName>
    <definedName name="Mars_mass" localSheetId="1">#REF!</definedName>
    <definedName name="Mars_mass" localSheetId="6">#REF!</definedName>
    <definedName name="Mars_mass" localSheetId="3">#REF!</definedName>
    <definedName name="Mars_mass" localSheetId="7">#REF!</definedName>
    <definedName name="Mars_mass" localSheetId="8">#REF!</definedName>
    <definedName name="Mars_mass">#REF!</definedName>
    <definedName name="Mars_mean_radi" localSheetId="1">#REF!</definedName>
    <definedName name="Mars_mean_radi" localSheetId="6">#REF!</definedName>
    <definedName name="Mars_mean_radi" localSheetId="7">#REF!</definedName>
    <definedName name="Mars_mean_radi" localSheetId="8">#REF!</definedName>
    <definedName name="Mars_mean_radi">#REF!</definedName>
    <definedName name="Mass" localSheetId="1">#REF!</definedName>
    <definedName name="Mass" localSheetId="6">#REF!</definedName>
    <definedName name="Mass" localSheetId="3">#REF!</definedName>
    <definedName name="Mass" localSheetId="7">[10]MainTrade!#REF!</definedName>
    <definedName name="Mass" localSheetId="8">#REF!</definedName>
    <definedName name="Mass">#REF!</definedName>
    <definedName name="Max_Solar_Flux">Constants!$B$31</definedName>
    <definedName name="MECH\m\\">[1]Parameters!$I$22</definedName>
    <definedName name="MECH\P\\">[1]Parameters!$I$24</definedName>
    <definedName name="MECH\P_duty_cyc\\">[1]Parameters!$I$25</definedName>
    <definedName name="mega" localSheetId="1">#REF!</definedName>
    <definedName name="mega" localSheetId="3">#REF!</definedName>
    <definedName name="mega" localSheetId="7">#REF!</definedName>
    <definedName name="mega" localSheetId="8">#REF!</definedName>
    <definedName name="mega">#REF!</definedName>
    <definedName name="micro" localSheetId="1">#REF!</definedName>
    <definedName name="micro" localSheetId="7">#REF!</definedName>
    <definedName name="micro" localSheetId="8">#REF!</definedName>
    <definedName name="micro">#REF!</definedName>
    <definedName name="milli" localSheetId="1">#REF!</definedName>
    <definedName name="milli" localSheetId="7">#REF!</definedName>
    <definedName name="milli" localSheetId="8">#REF!</definedName>
    <definedName name="milli">#REF!</definedName>
    <definedName name="Momentum_Wheel_Mass" localSheetId="3">'[5]Attitude Control - Sizing'!$Q$20</definedName>
    <definedName name="Momentum_Wheel_Mass">'[6]Attitude Control - Sizing'!$Q$20</definedName>
    <definedName name="mu" localSheetId="3">#REF!</definedName>
    <definedName name="mu">Constants!$B$12</definedName>
    <definedName name="nano" localSheetId="1">#REF!</definedName>
    <definedName name="nano" localSheetId="3">#REF!</definedName>
    <definedName name="nano" localSheetId="7">#REF!</definedName>
    <definedName name="nano" localSheetId="8">#REF!</definedName>
    <definedName name="nano">#REF!</definedName>
    <definedName name="Originating_Organisation">" "</definedName>
    <definedName name="Oxidizer_tank_volume">'Chemical Propulsion - Sizing'!$H$80</definedName>
    <definedName name="para_SUB_aa">[4]Subsystem!$A$13</definedName>
    <definedName name="para_SUB_bb">[4]Subsystem!$A$10</definedName>
    <definedName name="para_SUB_cc">[4]Subsystem!$A$11</definedName>
    <definedName name="para_SUB_dd">[4]Subsystem!$A$12</definedName>
    <definedName name="Parameters">#REF!</definedName>
    <definedName name="PasteSpecial" localSheetId="1">Cover!PasteSpecial</definedName>
    <definedName name="PasteSpecial" localSheetId="6">Modes!PasteSpecial</definedName>
    <definedName name="PasteSpecial" localSheetId="3">Objectives!PasteSpecial</definedName>
    <definedName name="PasteSpecial" localSheetId="7">ProductTreeMain!PasteSpecial</definedName>
    <definedName name="PasteSpecial" localSheetId="8">Trade_off!PasteSpecial</definedName>
    <definedName name="PasteSpecial">PasteSpecial</definedName>
    <definedName name="PasteSpecial_3" localSheetId="1">Cover!PasteSpecial_3</definedName>
    <definedName name="PasteSpecial_3" localSheetId="6">Modes!PasteSpecial_3</definedName>
    <definedName name="PasteSpecial_3" localSheetId="3">Objectives!PasteSpecial_3</definedName>
    <definedName name="PasteSpecial_3" localSheetId="7">ProductTreeMain!PasteSpecial_3</definedName>
    <definedName name="PasteSpecial_3" localSheetId="8">Trade_off!PasteSpecial_3</definedName>
    <definedName name="PasteSpecial_3">PasteSpecial_3</definedName>
    <definedName name="PasteSpecial_6" localSheetId="1">Cover!PasteSpecial_6</definedName>
    <definedName name="PasteSpecial_6" localSheetId="6">Modes!PasteSpecial_6</definedName>
    <definedName name="PasteSpecial_6" localSheetId="3">Objectives!PasteSpecial_6</definedName>
    <definedName name="PasteSpecial_6" localSheetId="7">ProductTreeMain!PasteSpecial_6</definedName>
    <definedName name="PasteSpecial_6" localSheetId="8">Trade_off!PasteSpecial_6</definedName>
    <definedName name="PasteSpecial_6">PasteSpecial_6</definedName>
    <definedName name="PasteSpecial_7" localSheetId="1">Cover!PasteSpecial_7</definedName>
    <definedName name="PasteSpecial_7" localSheetId="6">Modes!PasteSpecial_7</definedName>
    <definedName name="PasteSpecial_7" localSheetId="3">Objectives!PasteSpecial_7</definedName>
    <definedName name="PasteSpecial_7" localSheetId="7">ProductTreeMain!PasteSpecial_7</definedName>
    <definedName name="PasteSpecial_7" localSheetId="8">Trade_off!PasteSpecial_7</definedName>
    <definedName name="PasteSpecial_7">PasteSpecial_7</definedName>
    <definedName name="PasteSpecial_8" localSheetId="1">Cover!PasteSpecial_8</definedName>
    <definedName name="PasteSpecial_8" localSheetId="6">Modes!PasteSpecial_8</definedName>
    <definedName name="PasteSpecial_8" localSheetId="3">Objectives!PasteSpecial_8</definedName>
    <definedName name="PasteSpecial_8" localSheetId="7">ProductTreeMain!PasteSpecial_8</definedName>
    <definedName name="PasteSpecial_8" localSheetId="8">Trade_off!PasteSpecial_8</definedName>
    <definedName name="PasteSpecial_8">PasteSpecial_8</definedName>
    <definedName name="Peak_source_power">'Electric Propulsion - Sizing'!$H$12</definedName>
    <definedName name="permeability_vacuum" localSheetId="1">#REF!</definedName>
    <definedName name="permeability_vacuum" localSheetId="3">#REF!</definedName>
    <definedName name="permeability_vacuum" localSheetId="7">#REF!</definedName>
    <definedName name="permeability_vacuum" localSheetId="8">#REF!</definedName>
    <definedName name="permeability_vacuum">#REF!</definedName>
    <definedName name="permittivity_vacuum" localSheetId="1">#REF!</definedName>
    <definedName name="permittivity_vacuum" localSheetId="7">#REF!</definedName>
    <definedName name="permittivity_vacuum" localSheetId="8">#REF!</definedName>
    <definedName name="permittivity_vacuum">#REF!</definedName>
    <definedName name="peta" localSheetId="1">#REF!</definedName>
    <definedName name="peta" localSheetId="7">#REF!</definedName>
    <definedName name="peta" localSheetId="8">#REF!</definedName>
    <definedName name="peta">#REF!</definedName>
    <definedName name="pi" localSheetId="1">#REF!</definedName>
    <definedName name="pi" localSheetId="7">#REF!</definedName>
    <definedName name="pi" localSheetId="8">#REF!</definedName>
    <definedName name="pi">#REF!</definedName>
    <definedName name="piko" localSheetId="1">#REF!</definedName>
    <definedName name="piko" localSheetId="7">#REF!</definedName>
    <definedName name="piko" localSheetId="8">#REF!</definedName>
    <definedName name="piko">#REF!</definedName>
    <definedName name="Planck_Constant" localSheetId="9">Constants!$B$2</definedName>
    <definedName name="Planck_Constant" localSheetId="3">#REF!</definedName>
    <definedName name="Planck_Constant" localSheetId="7">#REF!</definedName>
    <definedName name="Planck_Constant" localSheetId="8">#REF!</definedName>
    <definedName name="Planck_Constant">Constants!$B$2</definedName>
    <definedName name="Planet_Albedo" localSheetId="3">[13]Constants!$B$32</definedName>
    <definedName name="Planet_Albedo" localSheetId="8">[14]Constants!$B$32</definedName>
    <definedName name="Planet_Albedo">Constants!$B$32</definedName>
    <definedName name="Planet_J2" localSheetId="3">[7]Constants!$B$20</definedName>
    <definedName name="Planet_J2">Constants!$B$20</definedName>
    <definedName name="Planet_Mag_Moment">Constants!$B$28</definedName>
    <definedName name="Planet_MaxIR" localSheetId="3">[15]Constants!$B$29</definedName>
    <definedName name="Planet_MaxIR" localSheetId="8">[14]Constants!$B$29</definedName>
    <definedName name="Planet_MaxIR">Constants!$B$29</definedName>
    <definedName name="Planet_MinIR" localSheetId="3">[15]Constants!$B$30</definedName>
    <definedName name="Planet_MinIR" localSheetId="8">[14]Constants!$B$30</definedName>
    <definedName name="Planet_MinIR">Constants!$B$30</definedName>
    <definedName name="Planet_MoonNode">Constants!$B$21</definedName>
    <definedName name="Planet_MoonPer">Constants!$B$23</definedName>
    <definedName name="Planet_Mu" localSheetId="3">[7]Constants!$B$19</definedName>
    <definedName name="Planet_Mu" localSheetId="7">[16]Constants!$B$19</definedName>
    <definedName name="Planet_Mu" localSheetId="8">[14]Constants!$B$19</definedName>
    <definedName name="Planet_Mu">Constants!$B$19</definedName>
    <definedName name="Planet_OrbitRadius" localSheetId="3">[7]Constants!$B$16</definedName>
    <definedName name="Planet_OrbitRadius">Constants!$B$16</definedName>
    <definedName name="Planet_OrbPeriod">Constants!$B$17</definedName>
    <definedName name="Planet_Radius" localSheetId="1">[9]Constants!$B$18</definedName>
    <definedName name="Planet_Radius" localSheetId="6">[6]Constants!$B$18</definedName>
    <definedName name="Planet_Radius" localSheetId="3">[8]Constants!$B$18</definedName>
    <definedName name="Planet_Radius" localSheetId="7">[16]Constants!$B$18</definedName>
    <definedName name="Planet_Radius" localSheetId="8">[14]Constants!$B$18</definedName>
    <definedName name="Planet_Radius">Constants!$B$18</definedName>
    <definedName name="Planet_SidDay">Constants!$B$25</definedName>
    <definedName name="Planet_SolarDay">Constants!$B$26</definedName>
    <definedName name="Planet_SunNode">Constants!$B$22</definedName>
    <definedName name="Planet_SunPer">Constants!$B$24</definedName>
    <definedName name="Planet_Vel" localSheetId="3">[7]Constants!$B$27</definedName>
    <definedName name="Planet_Vel">Constants!$B$27</definedName>
    <definedName name="plank" localSheetId="3">#REF!</definedName>
    <definedName name="plank">Constants!$B$2</definedName>
    <definedName name="Pressnt\m\\" localSheetId="1">[17]Parameters!$I$5</definedName>
    <definedName name="Pressnt\m\\" localSheetId="3">[13]Parameters!$I$5</definedName>
    <definedName name="Pressnt\m\\">[14]Parameters!$I$5</definedName>
    <definedName name="Prop\m\\" localSheetId="3">[1]Parameters!$I$26</definedName>
    <definedName name="Prop\m\\" localSheetId="8">[14]Parameters!$I$6</definedName>
    <definedName name="Prop\m\\">[1]Parameters!$I$26</definedName>
    <definedName name="Prop\P\\">[1]Parameters!$I$28</definedName>
    <definedName name="Prop\P_duty_cyc\\">[1]Parameters!$I$29</definedName>
    <definedName name="Q" localSheetId="1">#REF!</definedName>
    <definedName name="Q" localSheetId="3">#REF!</definedName>
    <definedName name="Q" localSheetId="8">#REF!</definedName>
    <definedName name="Q">#REF!</definedName>
    <definedName name="Q_2" localSheetId="1">#REF!</definedName>
    <definedName name="Q_2" localSheetId="8">#REF!</definedName>
    <definedName name="Q_2">#REF!</definedName>
    <definedName name="Q1_2" localSheetId="1">#REF!</definedName>
    <definedName name="Q1_2" localSheetId="8">#REF!</definedName>
    <definedName name="Q1_2">#REF!</definedName>
    <definedName name="RadToDeg" localSheetId="3">[11]Constants!$B$40</definedName>
    <definedName name="RadToDeg" localSheetId="8">[11]Constants!$B$40</definedName>
    <definedName name="RadToDeg">Constants!$B$40</definedName>
    <definedName name="Rain_Temp" localSheetId="9">Constants!$B$37</definedName>
    <definedName name="Rain_Temp" localSheetId="3">#REF!</definedName>
    <definedName name="Rain_Temp" localSheetId="7">#REF!</definedName>
    <definedName name="Rain_Temp" localSheetId="8">#REF!</definedName>
    <definedName name="Rain_Temp">Constants!$B$37</definedName>
    <definedName name="Range_default">#REF!</definedName>
    <definedName name="Re" localSheetId="3">#REF!</definedName>
    <definedName name="Re">Constants!$B$11</definedName>
    <definedName name="Reaction_Wheel_Mass" localSheetId="3">'[5]Attitude Control - Sizing'!$Q$30</definedName>
    <definedName name="Reaction_Wheel_Mass">'[6]Attitude Control - Sizing'!$Q$30</definedName>
    <definedName name="Reference">" "</definedName>
    <definedName name="remark_SUB_aa">[4]Subsystem!$H$13</definedName>
    <definedName name="remark_SUB_bb">[4]Subsystem!$H$10</definedName>
    <definedName name="remark_SUB_cc">[4]Subsystem!$H$11</definedName>
    <definedName name="remark_SUB_dd">[4]Subsystem!$H$12</definedName>
    <definedName name="Revision">" "</definedName>
    <definedName name="rgeo" localSheetId="1">#REF!</definedName>
    <definedName name="rgeo" localSheetId="3">#REF!</definedName>
    <definedName name="rgeo" localSheetId="8">#REF!</definedName>
    <definedName name="rgeo">#REF!</definedName>
    <definedName name="sol" localSheetId="1">#REF!</definedName>
    <definedName name="sol" localSheetId="3">#REF!</definedName>
    <definedName name="sol" localSheetId="8">#REF!</definedName>
    <definedName name="sol">#REF!</definedName>
    <definedName name="Solar_Flux" localSheetId="9">Constants!$B$33</definedName>
    <definedName name="Solar_Flux" localSheetId="6">[6]Constants!$B$33</definedName>
    <definedName name="Solar_Flux" localSheetId="3">[5]Constants!$B$33</definedName>
    <definedName name="Solar_Flux" localSheetId="7">#REF!</definedName>
    <definedName name="Solar_Flux" localSheetId="8">#REF!</definedName>
    <definedName name="Solar_Flux">Constants!$B$33</definedName>
    <definedName name="solar_flux_1AU" localSheetId="1">#REF!</definedName>
    <definedName name="solar_flux_1AU" localSheetId="3">#REF!</definedName>
    <definedName name="solar_flux_1AU" localSheetId="7">#REF!</definedName>
    <definedName name="solar_flux_1AU" localSheetId="8">#REF!</definedName>
    <definedName name="solar_flux_1AU">#REF!</definedName>
    <definedName name="Solar_mass" localSheetId="1">#REF!</definedName>
    <definedName name="Solar_mass" localSheetId="7">#REF!</definedName>
    <definedName name="Solar_mass" localSheetId="8">#REF!</definedName>
    <definedName name="Solar_mass">#REF!</definedName>
    <definedName name="Solar_radius" localSheetId="1">#REF!</definedName>
    <definedName name="Solar_radius" localSheetId="7">#REF!</definedName>
    <definedName name="Solar_radius" localSheetId="8">#REF!</definedName>
    <definedName name="Solar_radius">#REF!</definedName>
    <definedName name="Spacecraft\delta_v\\" localSheetId="1">[17]Parameters!$I$2</definedName>
    <definedName name="Spacecraft\delta_v\\" localSheetId="3">[13]Parameters!$I$2</definedName>
    <definedName name="Spacecraft\delta_v\\">[14]Parameters!$I$2</definedName>
    <definedName name="Spacecraft\mass_dry\\" localSheetId="1">[17]Parameters!$I$3</definedName>
    <definedName name="Spacecraft\mass_dry\\" localSheetId="3">[13]Parameters!$I$3</definedName>
    <definedName name="Spacecraft\mass_dry\\">[14]Parameters!$I$3</definedName>
    <definedName name="Spacecraft\mass_wet\\" localSheetId="1">[17]Parameters!$I$4</definedName>
    <definedName name="Spacecraft\mass_wet\\" localSheetId="3">[13]Parameters!$I$4</definedName>
    <definedName name="Spacecraft\mass_wet\\">[14]Parameters!$I$4</definedName>
    <definedName name="Speed_of_Light" localSheetId="9">Constants!$B$1</definedName>
    <definedName name="Speed_of_Light" localSheetId="6">[6]Constants!$B$1</definedName>
    <definedName name="Speed_of_Light" localSheetId="3">[5]Constants!$B$1</definedName>
    <definedName name="Speed_of_Light" localSheetId="7">#REF!</definedName>
    <definedName name="Speed_of_Light" localSheetId="8">#REF!</definedName>
    <definedName name="Speed_of_Light">Constants!$B$1</definedName>
    <definedName name="States">#REF!</definedName>
    <definedName name="Status">" "</definedName>
    <definedName name="Stefan_Boltzmann_Constant" localSheetId="9">Constants!$B$4</definedName>
    <definedName name="Stefan_Boltzmann_Constant" localSheetId="3">#REF!</definedName>
    <definedName name="Stefan_Boltzmann_Constant" localSheetId="7">#REF!</definedName>
    <definedName name="Stefan_Boltzmann_Constant" localSheetId="8">#REF!</definedName>
    <definedName name="Stefan_Boltzmann_Constant">Constants!$B$4</definedName>
    <definedName name="Stefan_Boltzmann_Constants" localSheetId="3">[13]Constants!$B$4</definedName>
    <definedName name="Stefan_Boltzmann_Constants" localSheetId="8">[14]Constants!$B$4</definedName>
    <definedName name="Stefan_Boltzmann_Constants">Constants!$B$4</definedName>
    <definedName name="step" localSheetId="1">#REF!</definedName>
    <definedName name="step" localSheetId="3">#REF!</definedName>
    <definedName name="step" localSheetId="8">#REF!</definedName>
    <definedName name="step">#REF!</definedName>
    <definedName name="STR\m\\">[1]Parameters!$I$30</definedName>
    <definedName name="STR\P\\">[1]Parameters!$I$32</definedName>
    <definedName name="STR\P_duty_cyc\\">[1]Parameters!$I$33</definedName>
    <definedName name="SUB_aa">[4]Subsystem!$G$13</definedName>
    <definedName name="SUB_bb">[4]Subsystem!$G$10</definedName>
    <definedName name="SUB_cc">[4]Subsystem!$G$11</definedName>
    <definedName name="SUB_dd">[4]Subsystem!$G$12</definedName>
    <definedName name="Subject">" "</definedName>
    <definedName name="Sun_Mu" localSheetId="3">[7]Constants!$B$7</definedName>
    <definedName name="Sun_Mu">Constants!$B$7</definedName>
    <definedName name="Sun_radi_1AU" localSheetId="1">#REF!</definedName>
    <definedName name="Sun_radi_1AU" localSheetId="3">#REF!</definedName>
    <definedName name="Sun_radi_1AU" localSheetId="7">#REF!</definedName>
    <definedName name="Sun_radi_1AU" localSheetId="8">#REF!</definedName>
    <definedName name="Sun_radi_1AU">#REF!</definedName>
    <definedName name="temp_deep_space" localSheetId="1">#REF!</definedName>
    <definedName name="temp_deep_space" localSheetId="7">#REF!</definedName>
    <definedName name="temp_deep_space" localSheetId="8">#REF!</definedName>
    <definedName name="temp_deep_space">#REF!</definedName>
    <definedName name="tera" localSheetId="1">#REF!</definedName>
    <definedName name="tera" localSheetId="7">#REF!</definedName>
    <definedName name="tera" localSheetId="8">#REF!</definedName>
    <definedName name="tera">#REF!</definedName>
    <definedName name="THR\m\\">[1]Parameters!$I$34</definedName>
    <definedName name="THR\P\\">[1]Parameters!$I$36</definedName>
    <definedName name="THR\P_duty_cyc\\">[1]Parameters!$I$37</definedName>
    <definedName name="Title">""</definedName>
    <definedName name="tsid" localSheetId="1">#REF!</definedName>
    <definedName name="tsid" localSheetId="3">#REF!</definedName>
    <definedName name="tsid" localSheetId="8">#REF!</definedName>
    <definedName name="tsid">#REF!</definedName>
    <definedName name="units_SUB_aa">[4]Subsystem!$E$13</definedName>
    <definedName name="units_SUB_bb">[4]Subsystem!$E$10</definedName>
    <definedName name="units_SUB_cc">[4]Subsystem!$E$11</definedName>
    <definedName name="units_SUB_dd">[4]Subsystem!$E$12</definedName>
    <definedName name="ve" localSheetId="3">#REF!</definedName>
    <definedName name="ve">Constants!$B$27</definedName>
    <definedName name="yocto" localSheetId="1">#REF!</definedName>
    <definedName name="yocto" localSheetId="3">#REF!</definedName>
    <definedName name="yocto" localSheetId="7">#REF!</definedName>
    <definedName name="yocto" localSheetId="8">#REF!</definedName>
    <definedName name="yocto">#REF!</definedName>
    <definedName name="yotta" localSheetId="1">#REF!</definedName>
    <definedName name="yotta" localSheetId="7">#REF!</definedName>
    <definedName name="yotta" localSheetId="8">#REF!</definedName>
    <definedName name="yotta">#REF!</definedName>
    <definedName name="zepto" localSheetId="1">#REF!</definedName>
    <definedName name="zepto" localSheetId="7">#REF!</definedName>
    <definedName name="zepto" localSheetId="8">#REF!</definedName>
    <definedName name="zepto">#REF!</definedName>
    <definedName name="zetta" localSheetId="1">#REF!</definedName>
    <definedName name="zetta" localSheetId="7">#REF!</definedName>
    <definedName name="zetta" localSheetId="8">#REF!</definedName>
    <definedName name="zetta">#REF!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7" i="15" l="1"/>
  <c r="B26" i="15"/>
  <c r="M26" i="15" s="1"/>
  <c r="B25" i="15"/>
  <c r="R40" i="15" s="1"/>
  <c r="B24" i="15"/>
  <c r="P24" i="15" s="1"/>
  <c r="N23" i="15"/>
  <c r="M23" i="15"/>
  <c r="B23" i="15"/>
  <c r="R38" i="15" s="1"/>
  <c r="B22" i="15"/>
  <c r="M22" i="15" s="1"/>
  <c r="B21" i="15"/>
  <c r="B20" i="15"/>
  <c r="B35" i="15" s="1"/>
  <c r="B19" i="15"/>
  <c r="E16" i="15" s="1"/>
  <c r="E18" i="15" s="1"/>
  <c r="B18" i="15"/>
  <c r="B33" i="15" s="1"/>
  <c r="B17" i="15"/>
  <c r="J16" i="15"/>
  <c r="J21" i="15" s="1"/>
  <c r="G24" i="15" s="1"/>
  <c r="I16" i="15"/>
  <c r="I22" i="15" s="1"/>
  <c r="H23" i="15" s="1"/>
  <c r="F16" i="15"/>
  <c r="S13" i="15"/>
  <c r="Q13" i="15"/>
  <c r="O13" i="15"/>
  <c r="M13" i="15"/>
  <c r="K13" i="15"/>
  <c r="I13" i="15"/>
  <c r="G13" i="15"/>
  <c r="E13" i="15"/>
  <c r="C13" i="15"/>
  <c r="N22" i="15" l="1"/>
  <c r="N26" i="15"/>
  <c r="B39" i="15"/>
  <c r="G20" i="15"/>
  <c r="F21" i="15" s="1"/>
  <c r="M24" i="15"/>
  <c r="R39" i="15"/>
  <c r="J22" i="15"/>
  <c r="H24" i="15" s="1"/>
  <c r="J18" i="15"/>
  <c r="D24" i="15" s="1"/>
  <c r="B41" i="15"/>
  <c r="D19" i="15"/>
  <c r="F18" i="15"/>
  <c r="D20" i="15" s="1"/>
  <c r="I19" i="15"/>
  <c r="E23" i="15" s="1"/>
  <c r="P25" i="15"/>
  <c r="P26" i="15"/>
  <c r="C16" i="15"/>
  <c r="G16" i="15"/>
  <c r="K16" i="15"/>
  <c r="I17" i="15"/>
  <c r="C23" i="15" s="1"/>
  <c r="J20" i="15"/>
  <c r="F24" i="15" s="1"/>
  <c r="I21" i="15"/>
  <c r="G23" i="15" s="1"/>
  <c r="P23" i="15"/>
  <c r="N24" i="15"/>
  <c r="M25" i="15"/>
  <c r="B32" i="15"/>
  <c r="B34" i="15"/>
  <c r="B36" i="15"/>
  <c r="B38" i="15"/>
  <c r="B40" i="15"/>
  <c r="F19" i="15"/>
  <c r="E20" i="15" s="1"/>
  <c r="J19" i="15"/>
  <c r="E24" i="15" s="1"/>
  <c r="I20" i="15"/>
  <c r="F23" i="15" s="1"/>
  <c r="P22" i="15"/>
  <c r="J23" i="15"/>
  <c r="I24" i="15" s="1"/>
  <c r="R37" i="15"/>
  <c r="R41" i="15"/>
  <c r="D16" i="15"/>
  <c r="D17" i="15" s="1"/>
  <c r="C18" i="15" s="1"/>
  <c r="H16" i="15"/>
  <c r="L16" i="15"/>
  <c r="J17" i="15"/>
  <c r="C24" i="15" s="1"/>
  <c r="I18" i="15"/>
  <c r="D23" i="15" s="1"/>
  <c r="N25" i="15"/>
  <c r="D19" i="4"/>
  <c r="D22" i="4"/>
  <c r="D24" i="4"/>
  <c r="D21" i="4"/>
  <c r="D47" i="4"/>
  <c r="D10" i="5"/>
  <c r="D11" i="5" s="1"/>
  <c r="D13" i="5"/>
  <c r="B34" i="9"/>
  <c r="H21" i="9" s="1"/>
  <c r="B32" i="9"/>
  <c r="B30" i="9"/>
  <c r="B29" i="9"/>
  <c r="B28" i="9"/>
  <c r="B26" i="9"/>
  <c r="B20" i="9"/>
  <c r="B19" i="9"/>
  <c r="B18" i="9"/>
  <c r="B17" i="9"/>
  <c r="B16" i="9"/>
  <c r="B14" i="9"/>
  <c r="B12" i="9"/>
  <c r="B11" i="9"/>
  <c r="B10" i="9"/>
  <c r="B9" i="9"/>
  <c r="I126" i="9"/>
  <c r="I125" i="9"/>
  <c r="I124" i="9"/>
  <c r="I123" i="9"/>
  <c r="I122" i="9"/>
  <c r="I121" i="9"/>
  <c r="I120" i="9"/>
  <c r="I119" i="9"/>
  <c r="I118" i="9"/>
  <c r="I117" i="9"/>
  <c r="I115" i="9" s="1"/>
  <c r="I116" i="9"/>
  <c r="H115" i="9"/>
  <c r="G115" i="9"/>
  <c r="I114" i="9"/>
  <c r="E102" i="9"/>
  <c r="E103" i="9" s="1"/>
  <c r="E104" i="9" s="1"/>
  <c r="E105" i="9" s="1"/>
  <c r="E106" i="9" s="1"/>
  <c r="E107" i="9" s="1"/>
  <c r="G98" i="9" s="1"/>
  <c r="G99" i="9" s="1"/>
  <c r="G100" i="9" s="1"/>
  <c r="G101" i="9" s="1"/>
  <c r="G102" i="9" s="1"/>
  <c r="G103" i="9" s="1"/>
  <c r="G104" i="9" s="1"/>
  <c r="G105" i="9" s="1"/>
  <c r="G106" i="9" s="1"/>
  <c r="G107" i="9" s="1"/>
  <c r="J98" i="9" s="1"/>
  <c r="J99" i="9" s="1"/>
  <c r="J100" i="9" s="1"/>
  <c r="J101" i="9" s="1"/>
  <c r="J102" i="9" s="1"/>
  <c r="J103" i="9" s="1"/>
  <c r="J104" i="9" s="1"/>
  <c r="J105" i="9" s="1"/>
  <c r="J106" i="9" s="1"/>
  <c r="J107" i="9" s="1"/>
  <c r="L98" i="9" s="1"/>
  <c r="L99" i="9" s="1"/>
  <c r="L100" i="9" s="1"/>
  <c r="L101" i="9" s="1"/>
  <c r="L102" i="9" s="1"/>
  <c r="L103" i="9" s="1"/>
  <c r="L104" i="9" s="1"/>
  <c r="L105" i="9" s="1"/>
  <c r="L106" i="9" s="1"/>
  <c r="L107" i="9" s="1"/>
  <c r="E99" i="9"/>
  <c r="E100" i="9" s="1"/>
  <c r="E101" i="9" s="1"/>
  <c r="K98" i="9"/>
  <c r="K99" i="9"/>
  <c r="K100" i="9" s="1"/>
  <c r="K101" i="9" s="1"/>
  <c r="K102" i="9" s="1"/>
  <c r="K103" i="9" s="1"/>
  <c r="K104" i="9" s="1"/>
  <c r="K105" i="9" s="1"/>
  <c r="K106" i="9" s="1"/>
  <c r="K107" i="9" s="1"/>
  <c r="M98" i="9" s="1"/>
  <c r="M99" i="9" s="1"/>
  <c r="M100" i="9" s="1"/>
  <c r="M101" i="9" s="1"/>
  <c r="M102" i="9" s="1"/>
  <c r="M103" i="9" s="1"/>
  <c r="M104" i="9" s="1"/>
  <c r="M105" i="9" s="1"/>
  <c r="M106" i="9" s="1"/>
  <c r="M107" i="9" s="1"/>
  <c r="U90" i="9"/>
  <c r="T90" i="9"/>
  <c r="AH89" i="9"/>
  <c r="AG89" i="9"/>
  <c r="AJ88" i="9" s="1"/>
  <c r="AK87" i="9" s="1"/>
  <c r="U89" i="9"/>
  <c r="T89" i="9"/>
  <c r="AH88" i="9"/>
  <c r="AG88" i="9"/>
  <c r="U88" i="9"/>
  <c r="T88" i="9"/>
  <c r="AH87" i="9"/>
  <c r="AR87" i="9" s="1"/>
  <c r="AG87" i="9"/>
  <c r="AK88" i="9" s="1"/>
  <c r="W87" i="9"/>
  <c r="U87" i="9"/>
  <c r="T87" i="9"/>
  <c r="Y89" i="9" s="1"/>
  <c r="K80" i="9"/>
  <c r="H80" i="9"/>
  <c r="K79" i="9"/>
  <c r="H79" i="9"/>
  <c r="AH74" i="9"/>
  <c r="AG74" i="9"/>
  <c r="U74" i="9"/>
  <c r="AE71" i="9" s="1"/>
  <c r="T74" i="9"/>
  <c r="AH73" i="9"/>
  <c r="AG73" i="9"/>
  <c r="U73" i="9"/>
  <c r="T73" i="9"/>
  <c r="AE72" i="9" s="1"/>
  <c r="AH72" i="9"/>
  <c r="AG72" i="9"/>
  <c r="U72" i="9"/>
  <c r="T72" i="9"/>
  <c r="AJ71" i="9"/>
  <c r="AH71" i="9"/>
  <c r="AG71" i="9"/>
  <c r="W71" i="9"/>
  <c r="U71" i="9"/>
  <c r="T71" i="9"/>
  <c r="AH69" i="9"/>
  <c r="AG69" i="9"/>
  <c r="U69" i="9"/>
  <c r="T69" i="9"/>
  <c r="AH68" i="9"/>
  <c r="AG68" i="9"/>
  <c r="AJ68" i="9" s="1"/>
  <c r="AK67" i="9" s="1"/>
  <c r="AL66" i="9" s="1"/>
  <c r="U68" i="9"/>
  <c r="T68" i="9"/>
  <c r="AH67" i="9"/>
  <c r="AG67" i="9"/>
  <c r="W67" i="9"/>
  <c r="X66" i="9" s="1"/>
  <c r="U67" i="9"/>
  <c r="T67" i="9"/>
  <c r="AJ66" i="9"/>
  <c r="AH66" i="9"/>
  <c r="AG66" i="9"/>
  <c r="AL68" i="9" s="1"/>
  <c r="W66" i="9"/>
  <c r="U66" i="9"/>
  <c r="T66" i="9"/>
  <c r="W68" i="9" s="1"/>
  <c r="X67" i="9" s="1"/>
  <c r="Y66" i="9" s="1"/>
  <c r="Y68" i="9"/>
  <c r="M59" i="9"/>
  <c r="L59" i="9"/>
  <c r="T58" i="9"/>
  <c r="M58" i="9"/>
  <c r="L58" i="9"/>
  <c r="T57" i="9"/>
  <c r="M57" i="9"/>
  <c r="L57" i="9"/>
  <c r="T56" i="9"/>
  <c r="M56" i="9"/>
  <c r="L56" i="9"/>
  <c r="T55" i="9"/>
  <c r="M55" i="9"/>
  <c r="L55" i="9"/>
  <c r="T54" i="9"/>
  <c r="T53" i="9"/>
  <c r="T52" i="9"/>
  <c r="T51" i="9"/>
  <c r="AF50" i="9"/>
  <c r="T49" i="9" s="1"/>
  <c r="T50" i="9"/>
  <c r="S49" i="9"/>
  <c r="V57" i="9" s="1"/>
  <c r="V48" i="9"/>
  <c r="T48" i="9"/>
  <c r="V47" i="9"/>
  <c r="T47" i="9"/>
  <c r="B39" i="9"/>
  <c r="T33" i="9"/>
  <c r="S33" i="9"/>
  <c r="R30" i="9"/>
  <c r="B27" i="9"/>
  <c r="K25" i="9" a="1"/>
  <c r="B25" i="9"/>
  <c r="K24" i="9" a="1"/>
  <c r="L23" i="9"/>
  <c r="K23" i="9" a="1"/>
  <c r="K23" i="9" s="1"/>
  <c r="K22" i="9"/>
  <c r="K22" i="9" a="1"/>
  <c r="L22" i="9" s="1"/>
  <c r="K21" i="9" a="1"/>
  <c r="K21" i="9" s="1"/>
  <c r="L21" i="9"/>
  <c r="K20" i="9" a="1"/>
  <c r="L20" i="9" s="1"/>
  <c r="L19" i="9"/>
  <c r="K19" i="9"/>
  <c r="K19" i="9" a="1"/>
  <c r="K18" i="9"/>
  <c r="K18" i="9" a="1"/>
  <c r="L18" i="9" s="1"/>
  <c r="G18" i="9"/>
  <c r="K17" i="9"/>
  <c r="K17" i="9" a="1"/>
  <c r="L17" i="9" s="1"/>
  <c r="I17" i="9"/>
  <c r="K16" i="9"/>
  <c r="K16" i="9" a="1"/>
  <c r="L16" i="9" s="1"/>
  <c r="H16" i="9"/>
  <c r="G16" i="9"/>
  <c r="L15" i="9"/>
  <c r="K15" i="9"/>
  <c r="K15" i="9" a="1"/>
  <c r="I15" i="9"/>
  <c r="K14" i="9" a="1"/>
  <c r="K13" i="9" a="1"/>
  <c r="L13" i="9" s="1"/>
  <c r="H13" i="9"/>
  <c r="O13" i="9" s="1" a="1"/>
  <c r="B13" i="9"/>
  <c r="K12" i="9" a="1"/>
  <c r="L12" i="9" s="1"/>
  <c r="H12" i="9"/>
  <c r="K11" i="9" a="1"/>
  <c r="L11" i="9" s="1"/>
  <c r="K10" i="9" a="1"/>
  <c r="L10" i="9"/>
  <c r="H10" i="9"/>
  <c r="K9" i="9" a="1"/>
  <c r="L9" i="9" s="1"/>
  <c r="K8" i="9" a="1"/>
  <c r="L8" i="9" s="1"/>
  <c r="H8" i="9"/>
  <c r="K7" i="9" a="1"/>
  <c r="L7" i="9"/>
  <c r="K6" i="9" a="1"/>
  <c r="L6" i="9" s="1"/>
  <c r="K5" i="9" a="1"/>
  <c r="I5" i="9"/>
  <c r="B4" i="9"/>
  <c r="B3" i="9"/>
  <c r="B2" i="9"/>
  <c r="B1" i="9"/>
  <c r="G7" i="9"/>
  <c r="H14" i="9"/>
  <c r="H18" i="9"/>
  <c r="O18" i="9" s="1" a="1"/>
  <c r="O18" i="9" s="1"/>
  <c r="I19" i="9"/>
  <c r="G20" i="9"/>
  <c r="H6" i="9"/>
  <c r="I7" i="9"/>
  <c r="H9" i="9"/>
  <c r="O9" i="9" s="1" a="1"/>
  <c r="O9" i="9"/>
  <c r="H11" i="9"/>
  <c r="H20" i="9"/>
  <c r="AJ73" i="9"/>
  <c r="AK72" i="9" s="1"/>
  <c r="AL71" i="9" s="1"/>
  <c r="AJ72" i="9"/>
  <c r="AK71" i="9"/>
  <c r="AL72" i="9"/>
  <c r="AK73" i="9"/>
  <c r="AL73" i="9"/>
  <c r="AP71" i="9"/>
  <c r="O8" i="9" a="1"/>
  <c r="H26" i="9"/>
  <c r="H25" i="9"/>
  <c r="H24" i="9"/>
  <c r="G23" i="9"/>
  <c r="I21" i="9"/>
  <c r="G26" i="9"/>
  <c r="M25" i="9" s="1" a="1"/>
  <c r="G25" i="9"/>
  <c r="G24" i="9"/>
  <c r="I22" i="9"/>
  <c r="I26" i="9"/>
  <c r="Q25" i="9" s="1" a="1"/>
  <c r="I25" i="9"/>
  <c r="I24" i="9"/>
  <c r="I23" i="9"/>
  <c r="I14" i="9"/>
  <c r="I13" i="9"/>
  <c r="I12" i="9"/>
  <c r="I11" i="9"/>
  <c r="I10" i="9"/>
  <c r="I9" i="9"/>
  <c r="I8" i="9"/>
  <c r="H7" i="9"/>
  <c r="O7" i="9" s="1" a="1"/>
  <c r="O7" i="9" s="1"/>
  <c r="G6" i="9"/>
  <c r="M6" i="9" s="1" a="1"/>
  <c r="M6" i="9" s="1"/>
  <c r="L24" i="9"/>
  <c r="K24" i="9"/>
  <c r="Z48" i="9"/>
  <c r="AE89" i="9"/>
  <c r="G5" i="9"/>
  <c r="I6" i="9"/>
  <c r="Q6" i="9" s="1" a="1"/>
  <c r="K8" i="9"/>
  <c r="K9" i="9"/>
  <c r="K10" i="9"/>
  <c r="K11" i="9"/>
  <c r="K12" i="9"/>
  <c r="K13" i="9"/>
  <c r="G15" i="9"/>
  <c r="M15" i="9" a="1"/>
  <c r="M15" i="9" s="1"/>
  <c r="I16" i="9"/>
  <c r="Q16" i="9" a="1"/>
  <c r="G17" i="9"/>
  <c r="M17" i="9" a="1"/>
  <c r="N17" i="9" s="1"/>
  <c r="I18" i="9"/>
  <c r="G19" i="9"/>
  <c r="M19" i="9" s="1" a="1"/>
  <c r="N19" i="9" s="1"/>
  <c r="I20" i="9"/>
  <c r="Q19" i="9" s="1" a="1"/>
  <c r="G22" i="9"/>
  <c r="H23" i="9"/>
  <c r="X48" i="9"/>
  <c r="Z57" i="9"/>
  <c r="H5" i="9"/>
  <c r="K7" i="9"/>
  <c r="G8" i="9"/>
  <c r="G9" i="9"/>
  <c r="M9" i="9" s="1" a="1"/>
  <c r="G10" i="9"/>
  <c r="G11" i="9"/>
  <c r="G12" i="9"/>
  <c r="G13" i="9"/>
  <c r="M12" i="9" s="1" a="1"/>
  <c r="G14" i="9"/>
  <c r="H15" i="9"/>
  <c r="O15" i="9" s="1" a="1"/>
  <c r="P15" i="9" s="1"/>
  <c r="H17" i="9"/>
  <c r="O17" i="9" s="1" a="1"/>
  <c r="H19" i="9"/>
  <c r="G21" i="9"/>
  <c r="M21" i="9" s="1" a="1"/>
  <c r="M21" i="9" s="1"/>
  <c r="H22" i="9"/>
  <c r="O22" i="9" s="1" a="1"/>
  <c r="O22" i="9" s="1"/>
  <c r="L25" i="9"/>
  <c r="K25" i="9"/>
  <c r="AA47" i="9"/>
  <c r="V55" i="9"/>
  <c r="V53" i="9"/>
  <c r="V58" i="9"/>
  <c r="V54" i="9"/>
  <c r="V50" i="9"/>
  <c r="V56" i="9"/>
  <c r="AE66" i="9"/>
  <c r="AJ67" i="9"/>
  <c r="AK66" i="9" s="1"/>
  <c r="AE87" i="9"/>
  <c r="AE88" i="9"/>
  <c r="Y67" i="9"/>
  <c r="AE67" i="9"/>
  <c r="O23" i="9" a="1"/>
  <c r="Q18" i="9" a="1"/>
  <c r="Q8" i="9" a="1"/>
  <c r="Q8" i="9"/>
  <c r="Q12" i="9" a="1"/>
  <c r="R12" i="9"/>
  <c r="Q24" i="9" a="1"/>
  <c r="P9" i="9"/>
  <c r="M16" i="9" a="1"/>
  <c r="M16" i="9" s="1"/>
  <c r="M20" i="9" a="1"/>
  <c r="M20" i="9"/>
  <c r="M5" i="9" a="1"/>
  <c r="M5" i="9"/>
  <c r="M24" i="9" a="1"/>
  <c r="N24" i="9" s="1"/>
  <c r="Q9" i="9" a="1"/>
  <c r="Q9" i="9"/>
  <c r="R25" i="9"/>
  <c r="M11" i="9" a="1"/>
  <c r="M11" i="9" s="1"/>
  <c r="M14" i="9" a="1"/>
  <c r="Q10" i="9" a="1"/>
  <c r="R10" i="9" s="1"/>
  <c r="M18" i="9" a="1"/>
  <c r="N18" i="9" s="1"/>
  <c r="O10" i="9" a="1"/>
  <c r="X68" i="9"/>
  <c r="AB66" i="9"/>
  <c r="AA54" i="9"/>
  <c r="N11" i="9"/>
  <c r="P23" i="9"/>
  <c r="O23" i="9"/>
  <c r="N5" i="9"/>
  <c r="M24" i="9"/>
  <c r="M23" i="9" a="1"/>
  <c r="AO88" i="9"/>
  <c r="AA58" i="9"/>
  <c r="M22" i="9" a="1"/>
  <c r="AP72" i="9"/>
  <c r="X56" i="9"/>
  <c r="Y53" i="9"/>
  <c r="M13" i="9" a="1"/>
  <c r="M13" i="9" s="1"/>
  <c r="Q20" i="9" a="1"/>
  <c r="Q16" i="9"/>
  <c r="R16" i="9"/>
  <c r="N6" i="9"/>
  <c r="Q5" i="9" a="1"/>
  <c r="Q17" i="9" a="1"/>
  <c r="O15" i="9"/>
  <c r="Q18" i="9"/>
  <c r="R18" i="9"/>
  <c r="R8" i="9"/>
  <c r="Q24" i="9"/>
  <c r="R24" i="9"/>
  <c r="N16" i="9"/>
  <c r="O14" i="9" a="1"/>
  <c r="P14" i="9" s="1"/>
  <c r="M10" i="9" a="1"/>
  <c r="M17" i="9"/>
  <c r="Q25" i="9"/>
  <c r="Y50" i="9"/>
  <c r="X50" i="9"/>
  <c r="Z50" i="9"/>
  <c r="AA55" i="9"/>
  <c r="Z55" i="9"/>
  <c r="X55" i="9"/>
  <c r="M8" i="9" a="1"/>
  <c r="N8" i="9" s="1"/>
  <c r="M7" i="9" a="1"/>
  <c r="M19" i="9"/>
  <c r="N15" i="9"/>
  <c r="R6" i="9"/>
  <c r="Q6" i="9"/>
  <c r="P7" i="9"/>
  <c r="Q11" i="9" a="1"/>
  <c r="Q23" i="9" a="1"/>
  <c r="Q23" i="9" s="1"/>
  <c r="Q22" i="9" a="1"/>
  <c r="Q21" i="9" a="1"/>
  <c r="Q7" i="9" a="1"/>
  <c r="Q7" i="9" s="1"/>
  <c r="O21" i="9" a="1"/>
  <c r="P21" i="9" s="1"/>
  <c r="Q15" i="9" a="1"/>
  <c r="R9" i="9"/>
  <c r="N20" i="9"/>
  <c r="Q12" i="9"/>
  <c r="Q10" i="9"/>
  <c r="P10" i="9"/>
  <c r="O10" i="9"/>
  <c r="N12" i="9"/>
  <c r="M12" i="9"/>
  <c r="Q5" i="9"/>
  <c r="R5" i="9"/>
  <c r="R23" i="9"/>
  <c r="N10" i="9"/>
  <c r="M10" i="9"/>
  <c r="M22" i="9"/>
  <c r="N22" i="9"/>
  <c r="N23" i="9"/>
  <c r="M23" i="9"/>
  <c r="R15" i="9"/>
  <c r="Q15" i="9"/>
  <c r="R11" i="9"/>
  <c r="Q11" i="9"/>
  <c r="N7" i="9"/>
  <c r="M7" i="9"/>
  <c r="O14" i="9"/>
  <c r="R19" i="9"/>
  <c r="Q19" i="9"/>
  <c r="N9" i="9"/>
  <c r="M9" i="9"/>
  <c r="AC68" i="9"/>
  <c r="AA66" i="9"/>
  <c r="R21" i="9"/>
  <c r="Q21" i="9"/>
  <c r="AA67" i="9"/>
  <c r="AB68" i="9"/>
  <c r="Q20" i="9"/>
  <c r="R20" i="9"/>
  <c r="N13" i="9"/>
  <c r="R22" i="9"/>
  <c r="Q22" i="9"/>
  <c r="R17" i="9"/>
  <c r="Q17" i="9"/>
  <c r="P18" i="9"/>
  <c r="R7" i="9"/>
  <c r="D39" i="4"/>
  <c r="L47" i="4" s="1"/>
  <c r="D46" i="4"/>
  <c r="D38" i="4"/>
  <c r="H38" i="4"/>
  <c r="D23" i="4"/>
  <c r="D30" i="4"/>
  <c r="D20" i="4"/>
  <c r="H17" i="4"/>
  <c r="D16" i="5"/>
  <c r="D14" i="5"/>
  <c r="D41" i="4"/>
  <c r="D42" i="4"/>
  <c r="H44" i="4" s="1"/>
  <c r="D19" i="5"/>
  <c r="D20" i="5"/>
  <c r="N41" i="5"/>
  <c r="D75" i="4"/>
  <c r="D76" i="4"/>
  <c r="D77" i="4"/>
  <c r="D79" i="4"/>
  <c r="D43" i="4"/>
  <c r="D48" i="4"/>
  <c r="H43" i="4"/>
  <c r="D50" i="4"/>
  <c r="D57" i="4"/>
  <c r="D23" i="5"/>
  <c r="H83" i="4"/>
  <c r="H40" i="4"/>
  <c r="H41" i="4" s="1"/>
  <c r="D17" i="5"/>
  <c r="D17" i="4"/>
  <c r="D72" i="4" s="1"/>
  <c r="D22" i="5" l="1"/>
  <c r="I9" i="5" s="1"/>
  <c r="P17" i="9"/>
  <c r="O17" i="9"/>
  <c r="H47" i="4"/>
  <c r="H48" i="4"/>
  <c r="H46" i="4"/>
  <c r="AO73" i="9"/>
  <c r="AO71" i="9"/>
  <c r="AN72" i="9"/>
  <c r="AO72" i="9"/>
  <c r="AN71" i="9"/>
  <c r="AP73" i="9"/>
  <c r="O20" i="9" a="1"/>
  <c r="O19" i="9" a="1"/>
  <c r="L14" i="9"/>
  <c r="K14" i="9"/>
  <c r="M8" i="9"/>
  <c r="O16" i="9" a="1"/>
  <c r="AN73" i="9"/>
  <c r="Y54" i="9"/>
  <c r="Z54" i="9"/>
  <c r="X54" i="9"/>
  <c r="Q14" i="9" a="1"/>
  <c r="Q13" i="9" a="1"/>
  <c r="N25" i="9"/>
  <c r="M25" i="9"/>
  <c r="O25" i="9" a="1"/>
  <c r="O24" i="9" a="1"/>
  <c r="O6" i="9" a="1"/>
  <c r="O5" i="9" a="1"/>
  <c r="U58" i="9"/>
  <c r="U50" i="9"/>
  <c r="Y48" i="9"/>
  <c r="AA48" i="9"/>
  <c r="U53" i="9"/>
  <c r="U52" i="9"/>
  <c r="Z58" i="9"/>
  <c r="Z56" i="9"/>
  <c r="AA53" i="9"/>
  <c r="U57" i="9"/>
  <c r="U51" i="9"/>
  <c r="U47" i="9"/>
  <c r="Y47" i="9"/>
  <c r="U55" i="9"/>
  <c r="Y58" i="9"/>
  <c r="Y56" i="9"/>
  <c r="Z53" i="9"/>
  <c r="AA50" i="9"/>
  <c r="Y55" i="9"/>
  <c r="X47" i="9"/>
  <c r="Z47" i="9"/>
  <c r="X58" i="9"/>
  <c r="AA56" i="9"/>
  <c r="X53" i="9"/>
  <c r="Y73" i="9"/>
  <c r="AE73" i="9"/>
  <c r="Y72" i="9"/>
  <c r="X73" i="9" s="1"/>
  <c r="W72" i="9"/>
  <c r="X71" i="9" s="1"/>
  <c r="AR72" i="9"/>
  <c r="AR73" i="9"/>
  <c r="AR71" i="9"/>
  <c r="M72" i="9" s="1"/>
  <c r="AN88" i="9"/>
  <c r="AO87" i="9"/>
  <c r="AN87" i="9"/>
  <c r="O21" i="9"/>
  <c r="N14" i="9"/>
  <c r="M14" i="9"/>
  <c r="O13" i="9"/>
  <c r="P13" i="9"/>
  <c r="Y57" i="9"/>
  <c r="AA57" i="9"/>
  <c r="X57" i="9"/>
  <c r="U54" i="9"/>
  <c r="AR68" i="9"/>
  <c r="AR66" i="9"/>
  <c r="AR67" i="9"/>
  <c r="AA68" i="9"/>
  <c r="AC67" i="9"/>
  <c r="AB67" i="9"/>
  <c r="AC66" i="9"/>
  <c r="W73" i="9"/>
  <c r="X72" i="9" s="1"/>
  <c r="Y71" i="9" s="1"/>
  <c r="AR88" i="9"/>
  <c r="L5" i="9"/>
  <c r="K5" i="9"/>
  <c r="AB87" i="9"/>
  <c r="M18" i="9"/>
  <c r="P22" i="9"/>
  <c r="N21" i="9"/>
  <c r="O8" i="9"/>
  <c r="P8" i="9"/>
  <c r="O12" i="9" a="1"/>
  <c r="O11" i="9" a="1"/>
  <c r="U48" i="9"/>
  <c r="U56" i="9"/>
  <c r="AE68" i="9"/>
  <c r="W88" i="9"/>
  <c r="X87" i="9" s="1"/>
  <c r="AC88" i="9" s="1"/>
  <c r="Y88" i="9"/>
  <c r="X89" i="9" s="1"/>
  <c r="K6" i="9"/>
  <c r="V52" i="9"/>
  <c r="W89" i="9"/>
  <c r="X88" i="9" s="1"/>
  <c r="Y87" i="9" s="1"/>
  <c r="K20" i="9"/>
  <c r="AL67" i="9"/>
  <c r="G18" i="15"/>
  <c r="D21" i="15" s="1"/>
  <c r="V51" i="9"/>
  <c r="G19" i="15"/>
  <c r="E21" i="15" s="1"/>
  <c r="H22" i="4"/>
  <c r="D29" i="4"/>
  <c r="H19" i="15"/>
  <c r="E22" i="15" s="1"/>
  <c r="H18" i="15"/>
  <c r="D22" i="15" s="1"/>
  <c r="H21" i="15"/>
  <c r="G22" i="15" s="1"/>
  <c r="H17" i="15"/>
  <c r="C22" i="15" s="1"/>
  <c r="H20" i="15"/>
  <c r="F22" i="15" s="1"/>
  <c r="K24" i="15"/>
  <c r="J25" i="15" s="1"/>
  <c r="K20" i="15"/>
  <c r="F25" i="15" s="1"/>
  <c r="K22" i="15"/>
  <c r="H25" i="15" s="1"/>
  <c r="K18" i="15"/>
  <c r="D25" i="15" s="1"/>
  <c r="K17" i="15"/>
  <c r="C25" i="15" s="1"/>
  <c r="K23" i="15"/>
  <c r="I25" i="15" s="1"/>
  <c r="K19" i="15"/>
  <c r="E25" i="15" s="1"/>
  <c r="K21" i="15"/>
  <c r="G25" i="15" s="1"/>
  <c r="L23" i="15"/>
  <c r="I26" i="15" s="1"/>
  <c r="L19" i="15"/>
  <c r="E26" i="15" s="1"/>
  <c r="L25" i="15"/>
  <c r="K26" i="15" s="1"/>
  <c r="L22" i="15"/>
  <c r="H26" i="15" s="1"/>
  <c r="L18" i="15"/>
  <c r="D26" i="15" s="1"/>
  <c r="L21" i="15"/>
  <c r="G26" i="15" s="1"/>
  <c r="L17" i="15"/>
  <c r="C26" i="15" s="1"/>
  <c r="L24" i="15"/>
  <c r="J26" i="15" s="1"/>
  <c r="L20" i="15"/>
  <c r="F26" i="15" s="1"/>
  <c r="E17" i="15"/>
  <c r="H9" i="5" l="1"/>
  <c r="H15" i="5" s="1"/>
  <c r="H18" i="5" s="1"/>
  <c r="H16" i="5" s="1"/>
  <c r="Y52" i="9"/>
  <c r="AA52" i="9"/>
  <c r="X52" i="9"/>
  <c r="Z52" i="9"/>
  <c r="AK68" i="9"/>
  <c r="AP68" i="9"/>
  <c r="AO68" i="9"/>
  <c r="AC87" i="9"/>
  <c r="L88" i="9"/>
  <c r="L87" i="9"/>
  <c r="O24" i="9"/>
  <c r="P24" i="9"/>
  <c r="Q13" i="9"/>
  <c r="R13" i="9"/>
  <c r="AP66" i="9"/>
  <c r="AA89" i="9"/>
  <c r="M71" i="9"/>
  <c r="M73" i="9"/>
  <c r="AC89" i="9"/>
  <c r="H68" i="9"/>
  <c r="H67" i="9"/>
  <c r="H66" i="9"/>
  <c r="AA88" i="9"/>
  <c r="P25" i="9"/>
  <c r="O25" i="9"/>
  <c r="R14" i="9"/>
  <c r="Q14" i="9"/>
  <c r="AN68" i="9"/>
  <c r="AP67" i="9"/>
  <c r="O16" i="9"/>
  <c r="P16" i="9"/>
  <c r="O19" i="9"/>
  <c r="P19" i="9"/>
  <c r="O12" i="9"/>
  <c r="P12" i="9"/>
  <c r="P6" i="9"/>
  <c r="O6" i="9"/>
  <c r="Z51" i="9"/>
  <c r="Y51" i="9"/>
  <c r="X51" i="9"/>
  <c r="AA51" i="9"/>
  <c r="AA87" i="9"/>
  <c r="O11" i="9"/>
  <c r="P11" i="9"/>
  <c r="AO67" i="9"/>
  <c r="AB88" i="9"/>
  <c r="AA72" i="9"/>
  <c r="AB71" i="9"/>
  <c r="AA71" i="9"/>
  <c r="AC73" i="9"/>
  <c r="AC72" i="9"/>
  <c r="AA73" i="9"/>
  <c r="AB72" i="9"/>
  <c r="AB73" i="9"/>
  <c r="AC71" i="9"/>
  <c r="P5" i="9"/>
  <c r="O5" i="9"/>
  <c r="AO66" i="9"/>
  <c r="AB89" i="9"/>
  <c r="O20" i="9"/>
  <c r="P20" i="9"/>
  <c r="C19" i="15"/>
  <c r="M19" i="15" s="1"/>
  <c r="F17" i="15"/>
  <c r="D73" i="4"/>
  <c r="D31" i="4"/>
  <c r="H23" i="4"/>
  <c r="H19" i="4" s="1"/>
  <c r="M18" i="15"/>
  <c r="D29" i="5" l="1"/>
  <c r="H21" i="5"/>
  <c r="H22" i="5" s="1"/>
  <c r="H19" i="5"/>
  <c r="D26" i="5" s="1"/>
  <c r="G87" i="9"/>
  <c r="G89" i="9"/>
  <c r="G88" i="9"/>
  <c r="H71" i="9"/>
  <c r="H72" i="9"/>
  <c r="H73" i="9"/>
  <c r="AN66" i="9"/>
  <c r="AN67" i="9"/>
  <c r="H25" i="4"/>
  <c r="H20" i="4"/>
  <c r="H26" i="4"/>
  <c r="D55" i="4" s="1"/>
  <c r="H55" i="4" s="1"/>
  <c r="H84" i="4"/>
  <c r="H75" i="4"/>
  <c r="H76" i="4" s="1"/>
  <c r="H77" i="4" s="1"/>
  <c r="H79" i="4"/>
  <c r="H80" i="4" s="1"/>
  <c r="H81" i="4" s="1"/>
  <c r="G17" i="15"/>
  <c r="C20" i="15"/>
  <c r="M20" i="15" s="1"/>
  <c r="H11" i="5" l="1"/>
  <c r="H12" i="5" s="1"/>
  <c r="H13" i="5" s="1"/>
  <c r="D27" i="5" s="1"/>
  <c r="M68" i="9"/>
  <c r="M67" i="9"/>
  <c r="M66" i="9"/>
  <c r="C21" i="15"/>
  <c r="M21" i="15" s="1"/>
  <c r="M17" i="15"/>
  <c r="H56" i="4"/>
  <c r="H58" i="4"/>
  <c r="H59" i="4" s="1"/>
  <c r="D71" i="4"/>
  <c r="H71" i="4" s="1"/>
  <c r="D26" i="4"/>
  <c r="D28" i="5" l="1"/>
  <c r="H60" i="4"/>
  <c r="D58" i="4"/>
  <c r="N17" i="15"/>
  <c r="N19" i="15"/>
  <c r="N18" i="15"/>
  <c r="H73" i="4"/>
  <c r="H72" i="4"/>
  <c r="N21" i="15"/>
  <c r="N20" i="15"/>
  <c r="P20" i="15" l="1"/>
  <c r="R35" i="15" s="1"/>
  <c r="P17" i="15"/>
  <c r="R32" i="15" s="1"/>
  <c r="P21" i="15"/>
  <c r="R36" i="15" s="1"/>
  <c r="P19" i="15"/>
  <c r="R34" i="15" s="1"/>
  <c r="H64" i="4"/>
  <c r="H62" i="4"/>
  <c r="H63" i="4" s="1"/>
  <c r="P18" i="15"/>
  <c r="R33" i="15" s="1"/>
  <c r="P42" i="15" l="1"/>
  <c r="L42" i="15"/>
  <c r="H42" i="15"/>
  <c r="D42" i="15"/>
  <c r="J42" i="15"/>
  <c r="M42" i="15"/>
  <c r="E42" i="15"/>
  <c r="O42" i="15"/>
  <c r="K42" i="15"/>
  <c r="G42" i="15"/>
  <c r="C42" i="15"/>
  <c r="N42" i="15"/>
  <c r="N43" i="15" s="1"/>
  <c r="F42" i="15"/>
  <c r="Q42" i="15"/>
  <c r="I42" i="15"/>
  <c r="O43" i="15" l="1"/>
  <c r="I43" i="15"/>
  <c r="C43" i="15"/>
  <c r="E43" i="15"/>
  <c r="H43" i="15"/>
  <c r="D43" i="15"/>
  <c r="Q43" i="15"/>
  <c r="G43" i="15"/>
  <c r="M43" i="15"/>
  <c r="L43" i="15"/>
  <c r="F43" i="15"/>
  <c r="K43" i="15"/>
  <c r="J43" i="15"/>
  <c r="P43" i="15"/>
</calcChain>
</file>

<file path=xl/comments1.xml><?xml version="1.0" encoding="utf-8"?>
<comments xmlns="http://schemas.openxmlformats.org/spreadsheetml/2006/main">
  <authors>
    <author>benoit.herin</author>
    <author>David J. Cloud</author>
  </authors>
  <commentList>
    <comment ref="J1" authorId="0" shapeId="0">
      <text>
        <r>
          <rPr>
            <sz val="9"/>
            <color indexed="81"/>
            <rFont val="Tahoma"/>
            <family val="2"/>
          </rPr>
          <t xml:space="preserve">All equation referenced in this worksheet come from the Space Propulsion Analysis and Design (SPAD) text
</t>
        </r>
      </text>
    </comment>
    <comment ref="D17" authorId="1" shapeId="0">
      <text>
        <r>
          <rPr>
            <sz val="8"/>
            <color indexed="81"/>
            <rFont val="Times New Roman"/>
            <family val="1"/>
          </rPr>
          <t>1.  Direct input from Cell C17
2.  Retrieved from vacuum Isp in 
     "Propulsion - Thermodynamics"
3.  Retrieved from "SC Bus 
     Preliminary Sizing"</t>
        </r>
      </text>
    </comment>
    <comment ref="H17" authorId="1" shapeId="0">
      <text>
        <r>
          <rPr>
            <sz val="8"/>
            <color indexed="81"/>
            <rFont val="Times New Roman"/>
            <family val="1"/>
          </rPr>
          <t>SPAD Eqn 1.29, p 15</t>
        </r>
      </text>
    </comment>
    <comment ref="D19" authorId="1" shapeId="0">
      <text>
        <r>
          <rPr>
            <sz val="8"/>
            <color indexed="81"/>
            <rFont val="Times New Roman"/>
            <family val="1"/>
          </rPr>
          <t>1.  Direct input from Cell C19
2.  Calculated from information in "SC Bus - Preliminary Sizing"
3.  Left blank</t>
        </r>
      </text>
    </comment>
    <comment ref="H19" authorId="1" shapeId="0">
      <text>
        <r>
          <rPr>
            <sz val="8"/>
            <color indexed="81"/>
            <rFont val="Times New Roman"/>
            <family val="1"/>
          </rPr>
          <t>SPAD Eqn 1.25, p 15</t>
        </r>
      </text>
    </comment>
    <comment ref="D20" authorId="1" shapeId="0">
      <text>
        <r>
          <rPr>
            <sz val="8"/>
            <color indexed="81"/>
            <rFont val="Times New Roman"/>
            <family val="1"/>
          </rPr>
          <t>1.  Direct input from Cell C20
2.  Retrieved fro SC Bus - Preliminary Sizing"
3.  Left blank</t>
        </r>
      </text>
    </comment>
    <comment ref="H20" authorId="1" shapeId="0">
      <text>
        <r>
          <rPr>
            <sz val="8"/>
            <color indexed="81"/>
            <rFont val="Times New Roman"/>
            <family val="1"/>
          </rPr>
          <t>SPAD Eqn 1.26, p 15</t>
        </r>
      </text>
    </comment>
    <comment ref="D22" authorId="1" shapeId="0">
      <text>
        <r>
          <rPr>
            <sz val="8"/>
            <color indexed="81"/>
            <rFont val="Times New Roman"/>
            <family val="1"/>
          </rPr>
          <t>1.  Direct input from Cell C22
2.  Set to 0.15</t>
        </r>
      </text>
    </comment>
    <comment ref="H22" authorId="1" shapeId="0">
      <text>
        <r>
          <rPr>
            <sz val="8"/>
            <color indexed="81"/>
            <rFont val="Times New Roman"/>
            <family val="1"/>
          </rPr>
          <t>SPAD Eqn 1.27, p 15</t>
        </r>
      </text>
    </comment>
    <comment ref="D23" authorId="1" shapeId="0">
      <text>
        <r>
          <rPr>
            <sz val="8"/>
            <color indexed="81"/>
            <rFont val="Times New Roman"/>
            <family val="1"/>
          </rPr>
          <t>1.  Direct input from Cell C25
2.  Set to 1.50</t>
        </r>
      </text>
    </comment>
    <comment ref="H23" authorId="1" shapeId="0">
      <text>
        <r>
          <rPr>
            <sz val="8"/>
            <color indexed="81"/>
            <rFont val="Times New Roman"/>
            <family val="1"/>
          </rPr>
          <t>SPAD Eqn 1.24, p 15</t>
        </r>
      </text>
    </comment>
    <comment ref="H25" authorId="1" shapeId="0">
      <text>
        <r>
          <rPr>
            <sz val="8"/>
            <color indexed="81"/>
            <rFont val="Times New Roman"/>
            <family val="1"/>
          </rPr>
          <t>Initial stage mass (Cell H19) times gravitational acceleration at sea level times initial thrust to weight ratio (Cell D25)</t>
        </r>
      </text>
    </comment>
    <comment ref="H26" authorId="1" shapeId="0">
      <text>
        <r>
          <rPr>
            <sz val="8"/>
            <color indexed="81"/>
            <rFont val="Times New Roman"/>
            <family val="1"/>
          </rPr>
          <t>SPAD Eqn 1.9 &amp; 1.10, p 11</t>
        </r>
      </text>
    </comment>
    <comment ref="D38" authorId="1" shapeId="0">
      <text>
        <r>
          <rPr>
            <sz val="8"/>
            <color indexed="81"/>
            <rFont val="Times New Roman"/>
            <family val="1"/>
          </rPr>
          <t>1.  Direct input from Cell C38
2.  Left blank</t>
        </r>
      </text>
    </comment>
    <comment ref="H38" authorId="1" shapeId="0">
      <text>
        <r>
          <rPr>
            <sz val="8"/>
            <color indexed="81"/>
            <rFont val="Times New Roman"/>
            <family val="1"/>
          </rPr>
          <t>SPAD Eqn 3.29, p 88</t>
        </r>
      </text>
    </comment>
    <comment ref="D39" authorId="1" shapeId="0">
      <text>
        <r>
          <rPr>
            <sz val="8"/>
            <color indexed="81"/>
            <rFont val="Times New Roman"/>
            <family val="1"/>
          </rPr>
          <t>1.  Direct input from Cell C39
2.  Set to 1.4 (SPAD, p 93)</t>
        </r>
      </text>
    </comment>
    <comment ref="H40" authorId="1" shapeId="0">
      <text>
        <r>
          <rPr>
            <sz val="8"/>
            <color indexed="81"/>
            <rFont val="Times New Roman"/>
            <family val="1"/>
          </rPr>
          <t>SPAD Eqn 3.90, p 100</t>
        </r>
      </text>
    </comment>
    <comment ref="D41" authorId="1" shapeId="0">
      <text>
        <r>
          <rPr>
            <sz val="8"/>
            <color indexed="81"/>
            <rFont val="Times New Roman"/>
            <family val="1"/>
          </rPr>
          <t>1.  Direct input from Cell C41
2.  Left blank</t>
        </r>
      </text>
    </comment>
    <comment ref="H41" authorId="1" shapeId="0">
      <text>
        <r>
          <rPr>
            <sz val="8"/>
            <color indexed="81"/>
            <rFont val="Times New Roman"/>
            <family val="1"/>
          </rPr>
          <t>SPAD Eqn 5.12, p 206</t>
        </r>
      </text>
    </comment>
    <comment ref="D42" authorId="1" shapeId="0">
      <text>
        <r>
          <rPr>
            <sz val="8"/>
            <color indexed="81"/>
            <rFont val="Times New Roman"/>
            <family val="1"/>
          </rPr>
          <t>1.  Direct input from Cell C42
2.  Left blank</t>
        </r>
      </text>
    </comment>
    <comment ref="D43" authorId="1" shapeId="0">
      <text>
        <r>
          <rPr>
            <sz val="8"/>
            <color indexed="81"/>
            <rFont val="Times New Roman"/>
            <family val="1"/>
          </rPr>
          <t xml:space="preserve">1.  Direct input from Cell C43
2.  Set to 0.95 (SPAD, p 219) </t>
        </r>
      </text>
    </comment>
    <comment ref="H43" authorId="1" shapeId="0">
      <text>
        <r>
          <rPr>
            <sz val="8"/>
            <color indexed="81"/>
            <rFont val="Times New Roman"/>
            <family val="1"/>
          </rPr>
          <t>SPAD Eqn 5.40, p 223</t>
        </r>
      </text>
    </comment>
    <comment ref="H44" authorId="1" shapeId="0">
      <text>
        <r>
          <rPr>
            <sz val="8"/>
            <color indexed="81"/>
            <rFont val="Times New Roman"/>
            <family val="1"/>
          </rPr>
          <t>SPAD Eqn 5.14, p 206</t>
        </r>
      </text>
    </comment>
    <comment ref="D46" authorId="1" shapeId="0">
      <text>
        <r>
          <rPr>
            <sz val="8"/>
            <color indexed="81"/>
            <rFont val="Times New Roman"/>
            <family val="1"/>
          </rPr>
          <t>1.  Direct input from Cell C46
2.  Calculated from exit Mach 
     number (Cell D47 using 
     SPAD Eqn 5.15, p 206)
3.  Left blank</t>
        </r>
      </text>
    </comment>
    <comment ref="H46" authorId="1" shapeId="0">
      <text>
        <r>
          <rPr>
            <sz val="8"/>
            <color indexed="81"/>
            <rFont val="Times New Roman"/>
            <family val="1"/>
          </rPr>
          <t>SPAD Eqn 5.11, p 206
using ambient pressure in Cell C16</t>
        </r>
      </text>
    </comment>
    <comment ref="D47" authorId="1" shapeId="0">
      <text>
        <r>
          <rPr>
            <sz val="8"/>
            <color indexed="81"/>
            <rFont val="Times New Roman"/>
            <family val="1"/>
          </rPr>
          <t>1.  Direct input from Cell C47 (Note:  If this option is used, nozzle 
      expansion ratio should not be input directly.  It will be calculated 
      using SPAD Eqn 5.15, p 206.)
2.  If nozzle expansion ratio (Cell B12) is input directly, hit the "find 
      value" button to determine the corresponding exit Mach number 
      (using a macro to solve SPAD Eqn 5.15, p206)</t>
        </r>
      </text>
    </comment>
    <comment ref="H47" authorId="1" shapeId="0">
      <text>
        <r>
          <rPr>
            <sz val="8"/>
            <color indexed="81"/>
            <rFont val="Times New Roman"/>
            <family val="1"/>
          </rPr>
          <t>SPAD Eqn 5.11, p 206
using ambient pressure equal to zero</t>
        </r>
      </text>
    </comment>
    <comment ref="L47" authorId="1" shapeId="0">
      <text>
        <r>
          <rPr>
            <sz val="8"/>
            <color indexed="81"/>
            <rFont val="Times New Roman"/>
            <family val="1"/>
          </rPr>
          <t>This cell is set to zero when the "find value" button is hit to find the exit Mach number (Cell C13) that solves SPAD Eqn 5.15, p 206 for a specified nozzle expansion ratio (Cell C12)</t>
        </r>
      </text>
    </comment>
    <comment ref="D48" authorId="1" shapeId="0">
      <text>
        <r>
          <rPr>
            <sz val="8"/>
            <color indexed="81"/>
            <rFont val="Times New Roman"/>
            <family val="1"/>
          </rPr>
          <t>1.  Direct input from Cell B14
2.  Set to 15 (SPAD, p 223)</t>
        </r>
      </text>
    </comment>
    <comment ref="H48" authorId="1" shapeId="0">
      <text>
        <r>
          <rPr>
            <sz val="8"/>
            <color indexed="81"/>
            <rFont val="Times New Roman"/>
            <family val="1"/>
          </rPr>
          <t>SPAD Eqn 5.11, p 206
using ambient pressure and nozzle exit pressure equal to zero</t>
        </r>
      </text>
    </comment>
    <comment ref="D50" authorId="1" shapeId="0">
      <text>
        <r>
          <rPr>
            <sz val="8"/>
            <color indexed="81"/>
            <rFont val="Times New Roman"/>
            <family val="1"/>
          </rPr>
          <t>1.  Direct input from Cell C50
2.  Set to sea-level pressure, 
     101325 (SPAD, p 205)</t>
        </r>
      </text>
    </comment>
    <comment ref="D55" authorId="1" shapeId="0">
      <text>
        <r>
          <rPr>
            <sz val="8"/>
            <color indexed="81"/>
            <rFont val="Times New Roman"/>
            <family val="1"/>
          </rPr>
          <t>1.  Direct input from Cell C55
2.  Retrieved from "Propulsion - Sizing"
3.  Left blank</t>
        </r>
      </text>
    </comment>
    <comment ref="H55" authorId="1" shapeId="0">
      <text>
        <r>
          <rPr>
            <sz val="8"/>
            <color indexed="81"/>
            <rFont val="Times New Roman"/>
            <family val="1"/>
          </rPr>
          <t>SPAD Eqn 3.133, p 113</t>
        </r>
      </text>
    </comment>
    <comment ref="H56" authorId="1" shapeId="0">
      <text>
        <r>
          <rPr>
            <sz val="8"/>
            <color indexed="81"/>
            <rFont val="Times New Roman"/>
            <family val="1"/>
          </rPr>
          <t>Calculated using nozzle throat area (Cell G55)</t>
        </r>
      </text>
    </comment>
    <comment ref="D57" authorId="1" shapeId="0">
      <text>
        <r>
          <rPr>
            <sz val="8"/>
            <color indexed="81"/>
            <rFont val="Times New Roman"/>
            <family val="1"/>
          </rPr>
          <t>1.  Direct input from Cell C57
2.  Set to 0.9 (SPAD, p 219)</t>
        </r>
      </text>
    </comment>
    <comment ref="D58" authorId="1" shapeId="0">
      <text>
        <r>
          <rPr>
            <sz val="8"/>
            <color indexed="81"/>
            <rFont val="Times New Roman"/>
            <family val="1"/>
          </rPr>
          <t>1.  Direct input from Cell C58
2.  Calculated based on curve fit 
     (see SPAD, Fig 5.24, p 222)
3.  Left blank</t>
        </r>
      </text>
    </comment>
    <comment ref="H58" authorId="1" shapeId="0">
      <text>
        <r>
          <rPr>
            <sz val="8"/>
            <color indexed="81"/>
            <rFont val="Times New Roman"/>
            <family val="1"/>
          </rPr>
          <t>Set equal to nozzle throat area (Cell H55) times nozzle expansion ratio (Cell D46)</t>
        </r>
      </text>
    </comment>
    <comment ref="H59" authorId="1" shapeId="0">
      <text>
        <r>
          <rPr>
            <sz val="8"/>
            <color indexed="81"/>
            <rFont val="Times New Roman"/>
            <family val="1"/>
          </rPr>
          <t>Calculated using nozzle exit area (Cell H58)</t>
        </r>
      </text>
    </comment>
    <comment ref="H60" authorId="1" shapeId="0">
      <text>
        <r>
          <rPr>
            <sz val="8"/>
            <color indexed="81"/>
            <rFont val="Times New Roman"/>
            <family val="1"/>
          </rPr>
          <t>SPAD Eqn 5.41, p 224</t>
        </r>
      </text>
    </comment>
    <comment ref="H62" authorId="1" shapeId="0">
      <text>
        <r>
          <rPr>
            <sz val="8"/>
            <color indexed="81"/>
            <rFont val="Times New Roman"/>
            <family val="1"/>
          </rPr>
          <t>Set equal to nozzle throat area (Cell H58) times combustion chamber contraction ratio (Cell D55)</t>
        </r>
      </text>
    </comment>
    <comment ref="H63" authorId="1" shapeId="0">
      <text>
        <r>
          <rPr>
            <sz val="8"/>
            <color indexed="81"/>
            <rFont val="Times New Roman"/>
            <family val="1"/>
          </rPr>
          <t>Calculated using combustion chamber cross-sectional area (Cell H62)</t>
        </r>
      </text>
    </comment>
    <comment ref="H64" authorId="1" shapeId="0">
      <text>
        <r>
          <rPr>
            <sz val="8"/>
            <color indexed="81"/>
            <rFont val="Times New Roman"/>
            <family val="1"/>
          </rPr>
          <t>SPAD Eqn 5.38, p 221</t>
        </r>
      </text>
    </comment>
    <comment ref="D71" authorId="1" shapeId="0">
      <text>
        <r>
          <rPr>
            <sz val="8"/>
            <color indexed="81"/>
            <rFont val="Times New Roman"/>
            <family val="1"/>
          </rPr>
          <t>1.  Direct input from Cell C71
2.  Retrieved from "Propulsion - Sizing" (Cell H25)
3.  Left blank</t>
        </r>
      </text>
    </comment>
    <comment ref="H71" authorId="1" shapeId="0">
      <text>
        <r>
          <rPr>
            <sz val="8"/>
            <color indexed="81"/>
            <rFont val="Times New Roman"/>
            <family val="1"/>
          </rPr>
          <t>SPAD, Eqn 1.9 &amp; 1.10, p 11</t>
        </r>
      </text>
    </comment>
    <comment ref="D72" authorId="1" shapeId="0">
      <text>
        <r>
          <rPr>
            <sz val="8"/>
            <color indexed="81"/>
            <rFont val="Times New Roman"/>
            <family val="1"/>
          </rPr>
          <t>1.  Direct input from Cell C72
2.  Retrieved from "Propulsion - Sizing" (Cell D17)
3.  Left blank</t>
        </r>
      </text>
    </comment>
    <comment ref="H72" authorId="1" shapeId="0">
      <text>
        <r>
          <rPr>
            <sz val="8"/>
            <color indexed="81"/>
            <rFont val="Times New Roman"/>
            <family val="1"/>
          </rPr>
          <t>SPAD, Eqn 5.29, p 216</t>
        </r>
      </text>
    </comment>
    <comment ref="D73" authorId="1" shapeId="0">
      <text>
        <r>
          <rPr>
            <sz val="8"/>
            <color indexed="81"/>
            <rFont val="Times New Roman"/>
            <family val="1"/>
          </rPr>
          <t>1.  Direct input from Cell C73
2.  Retrieved from "Propulsion - Sizing" (Cell H22)
3.  Left blank</t>
        </r>
      </text>
    </comment>
    <comment ref="H73" authorId="1" shapeId="0">
      <text>
        <r>
          <rPr>
            <sz val="8"/>
            <color indexed="81"/>
            <rFont val="Times New Roman"/>
            <family val="1"/>
          </rPr>
          <t>SPAD, Eqn 5.30, p 217</t>
        </r>
      </text>
    </comment>
    <comment ref="D75" authorId="1" shapeId="0">
      <text>
        <r>
          <rPr>
            <sz val="8"/>
            <color indexed="81"/>
            <rFont val="Times New Roman"/>
            <family val="1"/>
          </rPr>
          <t>1.  Direct input from Cell C75
2.  Set to 3.5 (SPAD, p 199)</t>
        </r>
      </text>
    </comment>
    <comment ref="H75" authorId="1" shapeId="0">
      <text>
        <r>
          <rPr>
            <sz val="8"/>
            <color indexed="81"/>
            <rFont val="Times New Roman"/>
            <family val="1"/>
          </rPr>
          <t>SPAD, Eqn 5.29, p 216</t>
        </r>
      </text>
    </comment>
    <comment ref="D76" authorId="1" shapeId="0">
      <text>
        <r>
          <rPr>
            <sz val="8"/>
            <color indexed="81"/>
            <rFont val="Times New Roman"/>
            <family val="1"/>
          </rPr>
          <t>1.  Direct input from Cell C76
2.  Left blank</t>
        </r>
      </text>
    </comment>
    <comment ref="H76" authorId="1" shapeId="0">
      <text>
        <r>
          <rPr>
            <sz val="8"/>
            <color indexed="81"/>
            <rFont val="Times New Roman"/>
            <family val="1"/>
          </rPr>
          <t>SPAD, Eqn 5.31, p 217</t>
        </r>
      </text>
    </comment>
    <comment ref="D77" authorId="1" shapeId="0">
      <text>
        <r>
          <rPr>
            <sz val="8"/>
            <color indexed="81"/>
            <rFont val="Times New Roman"/>
            <family val="1"/>
          </rPr>
          <t>1.  Direct input from Cell C77
2.  Left blank</t>
        </r>
      </text>
    </comment>
    <comment ref="H77" authorId="1" shapeId="0">
      <text>
        <r>
          <rPr>
            <sz val="8"/>
            <color indexed="81"/>
            <rFont val="Times New Roman"/>
            <family val="1"/>
          </rPr>
          <t>Calculated from volume (Cell H76)</t>
        </r>
      </text>
    </comment>
    <comment ref="D79" authorId="1" shapeId="0">
      <text>
        <r>
          <rPr>
            <sz val="8"/>
            <color indexed="81"/>
            <rFont val="Times New Roman"/>
            <family val="1"/>
          </rPr>
          <t>1.  Direct input from Cell C79
2.  Set to 0.03 (SPAD, p 268)</t>
        </r>
      </text>
    </comment>
    <comment ref="H79" authorId="1" shapeId="0">
      <text>
        <r>
          <rPr>
            <sz val="8"/>
            <color indexed="81"/>
            <rFont val="Times New Roman"/>
            <family val="1"/>
          </rPr>
          <t>SPAD, Eqn 5.30, p 217</t>
        </r>
      </text>
    </comment>
    <comment ref="H80" authorId="1" shapeId="0">
      <text>
        <r>
          <rPr>
            <sz val="8"/>
            <color indexed="81"/>
            <rFont val="Times New Roman"/>
            <family val="1"/>
          </rPr>
          <t>SPAD, Eqn 5.32, p 217</t>
        </r>
      </text>
    </comment>
    <comment ref="H81" authorId="1" shapeId="0">
      <text>
        <r>
          <rPr>
            <sz val="8"/>
            <color indexed="81"/>
            <rFont val="Times New Roman"/>
            <family val="1"/>
          </rPr>
          <t>Calculated from volume (Cell H80)</t>
        </r>
      </text>
    </comment>
    <comment ref="H83" authorId="1" shapeId="0">
      <text>
        <r>
          <rPr>
            <sz val="8"/>
            <color indexed="81"/>
            <rFont val="Times New Roman"/>
            <family val="1"/>
          </rPr>
          <t>(oxidizer density times O/F + propellant density) divided by (1 + O/F)</t>
        </r>
      </text>
    </comment>
    <comment ref="H84" authorId="1" shapeId="0">
      <text>
        <r>
          <rPr>
            <sz val="8"/>
            <color indexed="81"/>
            <rFont val="Times New Roman"/>
            <family val="1"/>
          </rPr>
          <t>propellant mass divided by bulk density divided by (1+ ullage fraction)</t>
        </r>
      </text>
    </comment>
  </commentList>
</comments>
</file>

<file path=xl/comments2.xml><?xml version="1.0" encoding="utf-8"?>
<comments xmlns="http://schemas.openxmlformats.org/spreadsheetml/2006/main">
  <authors>
    <author>David J. Cloud</author>
  </authors>
  <commentList>
    <comment ref="F1" authorId="0" shapeId="0">
      <text>
        <r>
          <rPr>
            <sz val="8"/>
            <color indexed="81"/>
            <rFont val="Times New Roman"/>
            <family val="1"/>
          </rPr>
          <t>All equation referenced in this worksheet come from the Space Propulsion Analysis and Design (SPAD) text</t>
        </r>
      </text>
    </comment>
    <comment ref="H9" authorId="0" shapeId="0">
      <text>
        <r>
          <rPr>
            <sz val="8"/>
            <color indexed="81"/>
            <rFont val="Times New Roman"/>
            <family val="1"/>
          </rPr>
          <t>SPAD Eqn 9.9, p 518
(Note:  If burn duration (Cell D13) and delta-v requirement (Cell D17) are available, hitting the "maximize value" button will set Cell D11 so that this ratio is maximized.)</t>
        </r>
      </text>
    </comment>
    <comment ref="D10" authorId="0" shapeId="0">
      <text>
        <r>
          <rPr>
            <sz val="8"/>
            <color indexed="81"/>
            <rFont val="Times New Roman"/>
            <family val="1"/>
          </rPr>
          <t>1.  Direct input from Cell C11
2.  Calculated from exhaust velocity if input directly 
     (Cell B21) - specific impulse = exhaust velocity 
     divided by gravitational acceleration at sea level
3.  Left blank</t>
        </r>
      </text>
    </comment>
    <comment ref="D11" authorId="0" shapeId="0">
      <text>
        <r>
          <rPr>
            <sz val="8"/>
            <color indexed="81"/>
            <rFont val="Times New Roman"/>
            <family val="1"/>
          </rPr>
          <t>Calculated from specific impulse (Cell D10) - 
exhaust velocity = gravitational acceleration at sea level times specific impulse</t>
        </r>
      </text>
    </comment>
    <comment ref="H11" authorId="0" shapeId="0">
      <text>
        <r>
          <rPr>
            <sz val="8"/>
            <color indexed="81"/>
            <rFont val="Times New Roman"/>
            <family val="1"/>
          </rPr>
          <t>SPAD Eqn 9.2, p 517</t>
        </r>
      </text>
    </comment>
    <comment ref="H12" authorId="0" shapeId="0">
      <text>
        <r>
          <rPr>
            <sz val="8"/>
            <color indexed="81"/>
            <rFont val="Times New Roman"/>
            <family val="1"/>
          </rPr>
          <t>SPAD Eqn 9.4, p 517</t>
        </r>
      </text>
    </comment>
    <comment ref="D13" authorId="0" shapeId="0">
      <text>
        <r>
          <rPr>
            <sz val="8"/>
            <color indexed="81"/>
            <rFont val="Times New Roman"/>
            <family val="1"/>
          </rPr>
          <t>1.  Direct input from Cell C13
2.  Calculated from burn duration in days 
     if input directly (Cell D14)
3.  Left blank</t>
        </r>
      </text>
    </comment>
    <comment ref="H13" authorId="0" shapeId="0">
      <text>
        <r>
          <rPr>
            <sz val="8"/>
            <color indexed="81"/>
            <rFont val="Times New Roman"/>
            <family val="1"/>
          </rPr>
          <t>Peak source power (Cell H12) times duty cycle per orbit period (Cell D23)</t>
        </r>
      </text>
    </comment>
    <comment ref="D14" authorId="0" shapeId="0">
      <text>
        <r>
          <rPr>
            <sz val="8"/>
            <color indexed="81"/>
            <rFont val="Times New Roman"/>
            <family val="1"/>
          </rPr>
          <t>Calculated from burn duration in seconds (Cell C23)</t>
        </r>
      </text>
    </comment>
    <comment ref="H15" authorId="0" shapeId="0">
      <text>
        <r>
          <rPr>
            <sz val="8"/>
            <color indexed="81"/>
            <rFont val="Times New Roman"/>
            <family val="1"/>
          </rPr>
          <t>Spacecraft dry mass excluding propulsion system (Cell D16) divided by ratio of payload mass to initial mass (Cell H19)</t>
        </r>
      </text>
    </comment>
    <comment ref="D16" authorId="0" shapeId="0">
      <text>
        <r>
          <rPr>
            <sz val="8"/>
            <color indexed="81"/>
            <rFont val="Times New Roman"/>
            <family val="1"/>
          </rPr>
          <t>1.  Direct input from Cell C16
2.  Retrieved from chemical system 
     information above (Cell D19)
3.  Left blank</t>
        </r>
      </text>
    </comment>
    <comment ref="H16" authorId="0" shapeId="0">
      <text>
        <r>
          <rPr>
            <sz val="8"/>
            <color indexed="81"/>
            <rFont val="Times New Roman"/>
            <family val="1"/>
          </rPr>
          <t>Initial stage mass (Cell G26) minus propellant mass (Cell G29)</t>
        </r>
      </text>
    </comment>
    <comment ref="D17" authorId="0" shapeId="0">
      <text>
        <r>
          <rPr>
            <sz val="8"/>
            <color indexed="81"/>
            <rFont val="Times New Roman"/>
            <family val="1"/>
          </rPr>
          <t>1.  Direct input from Cell C17
2.  Retrieved from chemical system 
     information above (Cell D20)
3.  Left blank</t>
        </r>
      </text>
    </comment>
    <comment ref="H18" authorId="0" shapeId="0">
      <text>
        <r>
          <rPr>
            <sz val="8"/>
            <color indexed="81"/>
            <rFont val="Times New Roman"/>
            <family val="1"/>
          </rPr>
          <t>SPAD Eqn 9.3, p 517</t>
        </r>
      </text>
    </comment>
    <comment ref="D19" authorId="0" shapeId="0">
      <text>
        <r>
          <rPr>
            <sz val="8"/>
            <color indexed="81"/>
            <rFont val="Times New Roman"/>
            <family val="1"/>
          </rPr>
          <t>1.  Direct input from Cell C19
2.  Calculated from power system - specific 
     mass if input directly (Cell C20)
3.  Set to 50 (see SMAD Table 11-33, p 410)</t>
        </r>
      </text>
    </comment>
    <comment ref="H19" authorId="0" shapeId="0">
      <text>
        <r>
          <rPr>
            <sz val="8"/>
            <color indexed="81"/>
            <rFont val="Times New Roman"/>
            <family val="1"/>
          </rPr>
          <t>SPAD Eqn 9.7, p 518</t>
        </r>
      </text>
    </comment>
    <comment ref="D20" authorId="0" shapeId="0">
      <text>
        <r>
          <rPr>
            <sz val="8"/>
            <color indexed="81"/>
            <rFont val="Times New Roman"/>
            <family val="1"/>
          </rPr>
          <t>Calculated from power system - specific power (Cell D19)</t>
        </r>
      </text>
    </comment>
    <comment ref="H21" authorId="0" shapeId="0">
      <text>
        <r>
          <rPr>
            <sz val="8"/>
            <color indexed="81"/>
            <rFont val="Tahoma"/>
            <family val="2"/>
          </rPr>
          <t>SPAD Eqn 9.6, p 518</t>
        </r>
      </text>
    </comment>
    <comment ref="D22" authorId="0" shapeId="0">
      <text>
        <r>
          <rPr>
            <sz val="8"/>
            <color indexed="81"/>
            <rFont val="Times New Roman"/>
            <family val="1"/>
          </rPr>
          <t>1.  Direct input from Cell C22
2.  Set to 0.475 if specific impulse 
     (Cell D10) is less than 1750
3.  Set to 0.65</t>
        </r>
      </text>
    </comment>
    <comment ref="H22" authorId="0" shapeId="0">
      <text>
        <r>
          <rPr>
            <sz val="8"/>
            <color indexed="81"/>
            <rFont val="Times New Roman"/>
            <family val="1"/>
          </rPr>
          <t>SPAD Eqn 1.9, p 11</t>
        </r>
      </text>
    </comment>
    <comment ref="D23" authorId="0" shapeId="0">
      <text>
        <r>
          <rPr>
            <sz val="8"/>
            <color indexed="81"/>
            <rFont val="Times New Roman"/>
            <family val="1"/>
          </rPr>
          <t>1.  Direct input from Cell C23
2.  Set to 100%</t>
        </r>
      </text>
    </comment>
  </commentList>
</comments>
</file>

<file path=xl/comments3.xml><?xml version="1.0" encoding="utf-8"?>
<comments xmlns="http://schemas.openxmlformats.org/spreadsheetml/2006/main">
  <authors>
    <author>Loris Franchi</author>
  </authors>
  <commentList>
    <comment ref="D6" authorId="0" shapeId="0">
      <text>
        <r>
          <rPr>
            <b/>
            <sz val="9"/>
            <color indexed="81"/>
            <rFont val="Tahoma"/>
            <family val="2"/>
          </rPr>
          <t>Loris Franchi:</t>
        </r>
        <r>
          <rPr>
            <sz val="9"/>
            <color indexed="81"/>
            <rFont val="Tahoma"/>
            <family val="2"/>
          </rPr>
          <t xml:space="preserve">
Marco was with wrong Sheet name</t>
        </r>
      </text>
    </comment>
  </commentList>
</comments>
</file>

<file path=xl/comments4.xml><?xml version="1.0" encoding="utf-8"?>
<comments xmlns="http://schemas.openxmlformats.org/spreadsheetml/2006/main">
  <authors>
    <author>Loris Franchi</author>
  </authors>
  <commentList>
    <comment ref="U45" authorId="0" shapeId="0">
      <text>
        <r>
          <rPr>
            <b/>
            <sz val="9"/>
            <color indexed="81"/>
            <rFont val="Tahoma"/>
            <family val="2"/>
          </rPr>
          <t>Loris Franchi:</t>
        </r>
        <r>
          <rPr>
            <sz val="9"/>
            <color indexed="81"/>
            <rFont val="Tahoma"/>
            <family val="2"/>
          </rPr>
          <t xml:space="preserve">
Assumed Circular Orbit</t>
        </r>
      </text>
    </comment>
  </commentList>
</comments>
</file>

<file path=xl/sharedStrings.xml><?xml version="1.0" encoding="utf-8"?>
<sst xmlns="http://schemas.openxmlformats.org/spreadsheetml/2006/main" count="694" uniqueCount="462">
  <si>
    <t>ADCS</t>
  </si>
  <si>
    <t>Specific Impulse</t>
  </si>
  <si>
    <t>km</t>
  </si>
  <si>
    <t>(All information on this sheet is contained in the block from Cell A1 to Cell J33)</t>
  </si>
  <si>
    <t>Specific impulse</t>
  </si>
  <si>
    <t>Minimum feasible specific impulse</t>
  </si>
  <si>
    <t>Spacecraft dry mass (excluding propulsion system)</t>
  </si>
  <si>
    <t>kg</t>
  </si>
  <si>
    <t>Initial stage mass</t>
  </si>
  <si>
    <t>Delta-V requirement</t>
  </si>
  <si>
    <t>m/s</t>
  </si>
  <si>
    <t>Final stage mass</t>
  </si>
  <si>
    <t>Inert mass fraction</t>
  </si>
  <si>
    <t>Propellant mass</t>
  </si>
  <si>
    <t>Inert mass</t>
  </si>
  <si>
    <t>Initial thrust-to-weight ratio</t>
  </si>
  <si>
    <t>Thrust</t>
  </si>
  <si>
    <t>N</t>
  </si>
  <si>
    <t>Mass flow rate</t>
  </si>
  <si>
    <t>kg/s</t>
  </si>
  <si>
    <t>Ratio of payload mass to initial mass</t>
  </si>
  <si>
    <t>Exhaust velocity</t>
  </si>
  <si>
    <t>Jet power</t>
  </si>
  <si>
    <t>W</t>
  </si>
  <si>
    <t>Burn duration</t>
  </si>
  <si>
    <t>Peak source power</t>
  </si>
  <si>
    <t>days</t>
  </si>
  <si>
    <t>Average source power</t>
  </si>
  <si>
    <t>Power system - specific power</t>
  </si>
  <si>
    <t>W/kg</t>
  </si>
  <si>
    <t>Power system - specific mass</t>
  </si>
  <si>
    <t>kg/W</t>
  </si>
  <si>
    <t>Thrust efficiency</t>
  </si>
  <si>
    <t>Duty cycle (per orbit period)</t>
  </si>
  <si>
    <t>Molecular mass of exhaust gases</t>
  </si>
  <si>
    <t>kg/kmol</t>
  </si>
  <si>
    <t>Combustion gas constant</t>
  </si>
  <si>
    <t>J/kg-K</t>
  </si>
  <si>
    <t>Isentropic parameter (ratio of specific heats)</t>
  </si>
  <si>
    <t>Combustion chamber speed of sound</t>
  </si>
  <si>
    <t>Combustion chamber (flame) temperature</t>
  </si>
  <si>
    <t>K</t>
  </si>
  <si>
    <t>Characteristic exhaust velocity</t>
  </si>
  <si>
    <t>Combustion chamber pressure</t>
  </si>
  <si>
    <t>N/m^2</t>
  </si>
  <si>
    <t>Combustion chamber efficiency</t>
  </si>
  <si>
    <t>Nozzle efficiency</t>
  </si>
  <si>
    <t>Nozzle exit pressure</t>
  </si>
  <si>
    <t>Nozzle expansion ratio</t>
  </si>
  <si>
    <t>Specific impulse at current altitude</t>
  </si>
  <si>
    <t>Exit Mach number</t>
  </si>
  <si>
    <t>Vacuum specific impulse</t>
  </si>
  <si>
    <t>Nozzle half angle</t>
  </si>
  <si>
    <t>deg</t>
  </si>
  <si>
    <t>Maximum possible specific impulse</t>
  </si>
  <si>
    <t>Ambient pressure</t>
  </si>
  <si>
    <t>Sizing of Liquid Propulsion System</t>
  </si>
  <si>
    <t>Nozzle throat area</t>
  </si>
  <si>
    <t>m^2</t>
  </si>
  <si>
    <t>Nozzle throat diameter</t>
  </si>
  <si>
    <t>m</t>
  </si>
  <si>
    <t>Combustion chamber characteristic length (L*)</t>
  </si>
  <si>
    <t>Combustion chamber contraction ratio (Ac/At)</t>
  </si>
  <si>
    <t>Nozzle exit area</t>
  </si>
  <si>
    <t>Nozzle exit diameter</t>
  </si>
  <si>
    <t>Nozzle length</t>
  </si>
  <si>
    <t>Combustion chamber cross-sectional area</t>
  </si>
  <si>
    <t>Combustion chamber diameter</t>
  </si>
  <si>
    <t>Combustion chamber length</t>
  </si>
  <si>
    <t>Propellant flow rate</t>
  </si>
  <si>
    <t>Fuel flow rate</t>
  </si>
  <si>
    <t>Oxidizer flow rate</t>
  </si>
  <si>
    <t>Oxidizer to fuel ratio</t>
  </si>
  <si>
    <t>Fuel mass</t>
  </si>
  <si>
    <t>Fuel density</t>
  </si>
  <si>
    <t>kg/m^3</t>
  </si>
  <si>
    <t>Fuel tank volume</t>
  </si>
  <si>
    <t>m^3</t>
  </si>
  <si>
    <t>Oxidizer density</t>
  </si>
  <si>
    <t>Radius of spherical fuel tank</t>
  </si>
  <si>
    <t>Ullage fraction</t>
  </si>
  <si>
    <t>Oxidizer mass</t>
  </si>
  <si>
    <t>Oxidizer tank volume</t>
  </si>
  <si>
    <t>Radius of spherical oxidizer tank</t>
  </si>
  <si>
    <t>Bulk density</t>
  </si>
  <si>
    <t>Bulk volume</t>
  </si>
  <si>
    <t>Propulsion</t>
  </si>
  <si>
    <t>Communications</t>
  </si>
  <si>
    <t>Power</t>
  </si>
  <si>
    <t>Payload</t>
  </si>
  <si>
    <t>Speed of Light</t>
  </si>
  <si>
    <t>Planck's Constant</t>
  </si>
  <si>
    <t>W-s^2</t>
  </si>
  <si>
    <t>Boltzmann's Constant</t>
  </si>
  <si>
    <t>W-s/K</t>
  </si>
  <si>
    <t>Density</t>
  </si>
  <si>
    <t xml:space="preserve"> </t>
  </si>
  <si>
    <t>Curve Fit Coefficients</t>
  </si>
  <si>
    <t>Stefan-Boltzmann Constant</t>
  </si>
  <si>
    <t>W/m^2/K^4</t>
  </si>
  <si>
    <t>Altitude</t>
  </si>
  <si>
    <t>Scale Height</t>
  </si>
  <si>
    <t>Min</t>
  </si>
  <si>
    <t>Mean</t>
  </si>
  <si>
    <t>Max</t>
  </si>
  <si>
    <t>km^3/sec^2</t>
  </si>
  <si>
    <t>tesla-m^2</t>
  </si>
  <si>
    <t>W/m^2</t>
  </si>
  <si>
    <t>Rain Temperature</t>
  </si>
  <si>
    <t>Conversion from inches to meters</t>
  </si>
  <si>
    <t>Percentage of</t>
  </si>
  <si>
    <t>S/C dry mass</t>
  </si>
  <si>
    <t>TT&amp;C</t>
  </si>
  <si>
    <t>Structure</t>
  </si>
  <si>
    <t>Thermal</t>
  </si>
  <si>
    <t>Percent of Operating Power</t>
  </si>
  <si>
    <t>Attitude Control</t>
  </si>
  <si>
    <t>C&amp;DH</t>
  </si>
  <si>
    <t>% between</t>
  </si>
  <si>
    <t>Min Mass</t>
  </si>
  <si>
    <t>Max Mass</t>
  </si>
  <si>
    <t>Min Power</t>
  </si>
  <si>
    <t>Max Power</t>
  </si>
  <si>
    <t>min &amp; max</t>
  </si>
  <si>
    <t>Mass (kg)</t>
  </si>
  <si>
    <t>Power (W)</t>
  </si>
  <si>
    <t>Earth Sensor</t>
  </si>
  <si>
    <t>Sun Sensor</t>
  </si>
  <si>
    <t>Star Sensor</t>
  </si>
  <si>
    <t>Magnetometer</t>
  </si>
  <si>
    <t>Gyroscope</t>
  </si>
  <si>
    <t>Output</t>
  </si>
  <si>
    <t>Input</t>
  </si>
  <si>
    <t>Curve Fit</t>
  </si>
  <si>
    <t>DT D</t>
  </si>
  <si>
    <t>(DT D)^-1</t>
  </si>
  <si>
    <t>DT y</t>
  </si>
  <si>
    <t>Coefficients</t>
  </si>
  <si>
    <t>Mass</t>
  </si>
  <si>
    <t>SSPA</t>
  </si>
  <si>
    <t>TWTA</t>
  </si>
  <si>
    <t>Nickel-Hydrogen</t>
  </si>
  <si>
    <t xml:space="preserve">DOD = </t>
  </si>
  <si>
    <t>log10(cycles)</t>
  </si>
  <si>
    <t>+</t>
  </si>
  <si>
    <t>Nickel-Cadmium</t>
  </si>
  <si>
    <t>For cylinder variable below 300</t>
  </si>
  <si>
    <t>For cylinder variable at or above 300</t>
  </si>
  <si>
    <t>Cylinder</t>
  </si>
  <si>
    <t>Buckling</t>
  </si>
  <si>
    <t>Variable</t>
  </si>
  <si>
    <t>Coeff</t>
  </si>
  <si>
    <t>Fiscal</t>
  </si>
  <si>
    <t>Inflation</t>
  </si>
  <si>
    <t>Year</t>
  </si>
  <si>
    <t>Factor to</t>
  </si>
  <si>
    <t>Base Year 2000</t>
  </si>
  <si>
    <t>Fraction of</t>
  </si>
  <si>
    <t>Non-Recurring</t>
  </si>
  <si>
    <t>Recurring</t>
  </si>
  <si>
    <t>S/C Bus Cost</t>
  </si>
  <si>
    <t>Percentage</t>
  </si>
  <si>
    <t>Spacecraft Bus</t>
  </si>
  <si>
    <t>Integration Assembly &amp; Test</t>
  </si>
  <si>
    <t>Program Level</t>
  </si>
  <si>
    <t>Ground Support Equipment</t>
  </si>
  <si>
    <t>Launch &amp; Orbital Ops Support</t>
  </si>
  <si>
    <t>New design with advanced development</t>
  </si>
  <si>
    <t>Nominal new design</t>
  </si>
  <si>
    <t>Major modification to existing design</t>
  </si>
  <si>
    <t>Moderate modifications to existing design</t>
  </si>
  <si>
    <t>Basically existing design</t>
  </si>
  <si>
    <t>Chemical Propulsion Inert Mass Fraction</t>
  </si>
  <si>
    <t>Electric Propulsion Inert Mass</t>
  </si>
  <si>
    <t>Electric Propulsion Average Source Power</t>
  </si>
  <si>
    <t>Electric Propulsion Peak Source Power</t>
  </si>
  <si>
    <t>Chemical Propulsion Propelant Mass</t>
  </si>
  <si>
    <t>Electric Propulsion Propelant Mass</t>
  </si>
  <si>
    <t>s</t>
  </si>
  <si>
    <t>%</t>
  </si>
  <si>
    <t>Electrothermal</t>
  </si>
  <si>
    <t>Electromagnetic</t>
  </si>
  <si>
    <t>Isp</t>
  </si>
  <si>
    <t>Tanks Structural Coefficient</t>
  </si>
  <si>
    <t>Electrostatic</t>
  </si>
  <si>
    <t>Storage and feed</t>
  </si>
  <si>
    <t>Sizing</t>
  </si>
  <si>
    <t>Propulsion technology</t>
  </si>
  <si>
    <t>other</t>
  </si>
  <si>
    <t>Power to Thrust Transformation Coefficient (N/kW)</t>
  </si>
  <si>
    <t>Thrusters Specific Mass (kg/N)</t>
  </si>
  <si>
    <t>Resistojet (N2, N2H4, NH3)</t>
  </si>
  <si>
    <t>Arcjet (N2H4, NH3)</t>
  </si>
  <si>
    <t>Ion (Xenon)</t>
  </si>
  <si>
    <t>Hall Effect (Xenon)</t>
  </si>
  <si>
    <t>MPD (Argon)</t>
  </si>
  <si>
    <t>Pulse-Inducted (Argon)</t>
  </si>
  <si>
    <t>Thrust (N)</t>
  </si>
  <si>
    <t>Efficiency</t>
  </si>
  <si>
    <t>0,1-1</t>
  </si>
  <si>
    <t>(All information on this sheet is contained in the block from Cell A1 to Cell S32)</t>
  </si>
  <si>
    <t>Propulsion System Design</t>
  </si>
  <si>
    <t>Calculations</t>
  </si>
  <si>
    <t>Inputs from OCDT</t>
  </si>
  <si>
    <t>Outputs to OCDT</t>
  </si>
  <si>
    <t>Payload Mass</t>
  </si>
  <si>
    <t>Propuslsion Subsystem Mass</t>
  </si>
  <si>
    <t>[I_sp]</t>
  </si>
  <si>
    <t>[m]</t>
  </si>
  <si>
    <t>[mass_margin]</t>
  </si>
  <si>
    <t>Delta V Budget</t>
  </si>
  <si>
    <t>[delta_v]</t>
  </si>
  <si>
    <t>Option:</t>
  </si>
  <si>
    <t>Default</t>
  </si>
  <si>
    <t>[P_peak]</t>
  </si>
  <si>
    <t>[P_mean]</t>
  </si>
  <si>
    <t>Drag Table</t>
  </si>
  <si>
    <t>Sun - Gravitational Constant</t>
  </si>
  <si>
    <t>Radius of Earth Orbit around the Sun</t>
  </si>
  <si>
    <t>Earth - Orbital Period</t>
  </si>
  <si>
    <t>Earth - Radius</t>
  </si>
  <si>
    <t>Earth - Gravitational Constant</t>
  </si>
  <si>
    <t>Earth - Sidereal Day</t>
  </si>
  <si>
    <t>hours</t>
  </si>
  <si>
    <t>Earth - Solar Day</t>
  </si>
  <si>
    <t>Radius of Planet Orbit around the Sun (AU)</t>
  </si>
  <si>
    <t>Planet - Orbital Period</t>
  </si>
  <si>
    <t>Planet - Radius</t>
  </si>
  <si>
    <t>Planet - Gravitational Constant</t>
  </si>
  <si>
    <t>Planet - J2</t>
  </si>
  <si>
    <t>Planet - Moon Node Precession Coefficient</t>
  </si>
  <si>
    <t>Planet - Sun Node Precession Coefficient</t>
  </si>
  <si>
    <t>Planet - Moon Perigee Rotation Coefficient</t>
  </si>
  <si>
    <t>Planet - Sun Perigee Rotation Coefficient</t>
  </si>
  <si>
    <t>Planet - Sidereal Day</t>
  </si>
  <si>
    <t>Planet - Solar Day</t>
  </si>
  <si>
    <t>Planet - Velocity at Equator</t>
  </si>
  <si>
    <t>Planet - Magnetic Moment</t>
  </si>
  <si>
    <t>Planet - Maximum IR Emission</t>
  </si>
  <si>
    <t>Mass Distribution for Selected Spacecraft</t>
  </si>
  <si>
    <t>Planets Data</t>
  </si>
  <si>
    <t>AU</t>
  </si>
  <si>
    <t>Max_IR</t>
  </si>
  <si>
    <t>Min_IR</t>
  </si>
  <si>
    <t>Albedo</t>
  </si>
  <si>
    <t>Mu</t>
  </si>
  <si>
    <t>Radius</t>
  </si>
  <si>
    <t>J2</t>
  </si>
  <si>
    <t>Solar Day</t>
  </si>
  <si>
    <t>Orbital Period (Sidereal )</t>
  </si>
  <si>
    <t>Magnetic Moment</t>
  </si>
  <si>
    <t>Percent of Atmosphere</t>
  </si>
  <si>
    <t>Planet - Minimum IR Emission</t>
  </si>
  <si>
    <t>Mercury</t>
  </si>
  <si>
    <t>Planet - Maximum Solar Flux</t>
  </si>
  <si>
    <t>Venus</t>
  </si>
  <si>
    <t>Planet - Albedo</t>
  </si>
  <si>
    <t>Earth</t>
  </si>
  <si>
    <t>Planet - Average Solar Flux</t>
  </si>
  <si>
    <t>Moon</t>
  </si>
  <si>
    <t>Planet - Percent of Earth's Atmosphere</t>
  </si>
  <si>
    <t>Mars</t>
  </si>
  <si>
    <t>Jupiter</t>
  </si>
  <si>
    <t>Saturn</t>
  </si>
  <si>
    <t>Uranus</t>
  </si>
  <si>
    <t>Typical Power Consumption</t>
  </si>
  <si>
    <t>Neptune</t>
  </si>
  <si>
    <t>Pluto/Charon</t>
  </si>
  <si>
    <t>Coversion Rad to Deg</t>
  </si>
  <si>
    <t>Target Body</t>
  </si>
  <si>
    <t>Semi-major Axis (AU)</t>
  </si>
  <si>
    <t>Sidereal Period (days)</t>
  </si>
  <si>
    <t>Synodic Period* (days)</t>
  </si>
  <si>
    <t>Hohmann Transfer Time (days)</t>
  </si>
  <si>
    <t>1st Opposition after 1/0/2001 (MM/DD/YYYY)</t>
  </si>
  <si>
    <t>Earth (E) to Target Body (T)</t>
  </si>
  <si>
    <t>Target Body (T) to Earth (E)</t>
  </si>
  <si>
    <t>Constants and Conversion Factors</t>
  </si>
  <si>
    <t>Departure Time relative to Opposition (days)</t>
  </si>
  <si>
    <t>Arrival Time relative to Opposition (days)</t>
  </si>
  <si>
    <t>1 day</t>
  </si>
  <si>
    <t>sec</t>
  </si>
  <si>
    <t>1 AU</t>
  </si>
  <si>
    <r>
      <t>μ</t>
    </r>
    <r>
      <rPr>
        <b/>
        <vertAlign val="subscript"/>
        <sz val="9"/>
        <rFont val="Geneva"/>
      </rPr>
      <t>Sun</t>
    </r>
  </si>
  <si>
    <r>
      <t>m</t>
    </r>
    <r>
      <rPr>
        <vertAlign val="superscript"/>
        <sz val="10"/>
        <rFont val="Geneva"/>
      </rPr>
      <t>3</t>
    </r>
    <r>
      <rPr>
        <sz val="10"/>
        <rFont val="Geneva"/>
      </rPr>
      <t>/s</t>
    </r>
    <r>
      <rPr>
        <vertAlign val="superscript"/>
        <sz val="10"/>
        <rFont val="Geneva"/>
      </rPr>
      <t>2</t>
    </r>
  </si>
  <si>
    <t>-</t>
  </si>
  <si>
    <t>E. semi-major axis</t>
  </si>
  <si>
    <t>Earth sidereal period</t>
  </si>
  <si>
    <t xml:space="preserve">ADCS Sensor Sizing </t>
  </si>
  <si>
    <t>Vesta</t>
  </si>
  <si>
    <t>Ceres</t>
  </si>
  <si>
    <t>Pluto</t>
  </si>
  <si>
    <t>Other</t>
  </si>
  <si>
    <t xml:space="preserve">Communications - Amplifiers  </t>
  </si>
  <si>
    <t xml:space="preserve">Secondary Batteries - Depth-of-Discharge vs. Cycle Life  </t>
  </si>
  <si>
    <t xml:space="preserve">Buckling Coefficient </t>
  </si>
  <si>
    <t>Inflation Factors</t>
  </si>
  <si>
    <t xml:space="preserve">Small Satellite Cost Breakdown  </t>
  </si>
  <si>
    <t>C&amp;DH Typical SLOC</t>
  </si>
  <si>
    <t>CSC(Computer software componets)</t>
  </si>
  <si>
    <t>SLOC</t>
  </si>
  <si>
    <t>Communication</t>
  </si>
  <si>
    <t>Command Processing</t>
  </si>
  <si>
    <t>Telemetry processing</t>
  </si>
  <si>
    <t>Telemetry processing (with compression)</t>
  </si>
  <si>
    <t>AOCS (sensors)</t>
  </si>
  <si>
    <t>Rate Gyro</t>
  </si>
  <si>
    <t>Magnetormeter</t>
  </si>
  <si>
    <t>Star Tracker (no id)</t>
  </si>
  <si>
    <t xml:space="preserve">Heritage Cost Factors  </t>
  </si>
  <si>
    <t>Star tracker output quaternion</t>
  </si>
  <si>
    <t>GPS(Position/velocity)</t>
  </si>
  <si>
    <t>GPS(Pseudo Range)</t>
  </si>
  <si>
    <t>AOCS</t>
  </si>
  <si>
    <t>Kintetik integration</t>
  </si>
  <si>
    <t>Kalman Filter</t>
  </si>
  <si>
    <t>Error Determination</t>
  </si>
  <si>
    <t>Process Control</t>
  </si>
  <si>
    <t>Ephemerisis Propagator</t>
  </si>
  <si>
    <t>Complex Ephemerisis</t>
  </si>
  <si>
    <t>Orbit Propagator (Linear)</t>
  </si>
  <si>
    <t>Orbit Propagator (Complex Envirolment)</t>
  </si>
  <si>
    <t>Actuator</t>
  </si>
  <si>
    <t>Magnetic control</t>
  </si>
  <si>
    <t>Thruster Control</t>
  </si>
  <si>
    <t>Reaction wheel control</t>
  </si>
  <si>
    <t>CMG control</t>
  </si>
  <si>
    <t>FDIR</t>
  </si>
  <si>
    <t>Monitor</t>
  </si>
  <si>
    <t>Fault identification</t>
  </si>
  <si>
    <t>Fault Correction</t>
  </si>
  <si>
    <t>Utilites</t>
  </si>
  <si>
    <t>Basic Math</t>
  </si>
  <si>
    <t>Trascendental Math</t>
  </si>
  <si>
    <t>Matrix Math</t>
  </si>
  <si>
    <t>Time Mng and conversion</t>
  </si>
  <si>
    <t>Coordinate conversion</t>
  </si>
  <si>
    <t>Momentum Mng</t>
  </si>
  <si>
    <t>Power Mng</t>
  </si>
  <si>
    <t>Thermal Control</t>
  </si>
  <si>
    <t>Principal Body</t>
  </si>
  <si>
    <t>Max impulsive Delta V from one engine activation</t>
  </si>
  <si>
    <t>Max Delta V per impulsive manoeuvre</t>
  </si>
  <si>
    <t>Engine activation time (per impulse)</t>
  </si>
  <si>
    <t>Chemical propulsion trade space</t>
  </si>
  <si>
    <t>Thrust to weight ratio</t>
  </si>
  <si>
    <t>Spacecraft dry mass</t>
  </si>
  <si>
    <t>Delta V</t>
  </si>
  <si>
    <t>Electric propulsion trade space</t>
  </si>
  <si>
    <t>Burn Duration</t>
  </si>
  <si>
    <t>Chemical propellant mass</t>
  </si>
  <si>
    <t>Chemical Thrust</t>
  </si>
  <si>
    <t>Electric propellant mass</t>
  </si>
  <si>
    <t>Electric Thrust</t>
  </si>
  <si>
    <t>Name</t>
  </si>
  <si>
    <t>Date</t>
  </si>
  <si>
    <t>File version</t>
  </si>
  <si>
    <t>Sheet Name</t>
  </si>
  <si>
    <t>Change</t>
  </si>
  <si>
    <t>Reason for Change</t>
  </si>
  <si>
    <t xml:space="preserve">added max delta v from one engine activation </t>
  </si>
  <si>
    <t>added activation time for chemical engine</t>
  </si>
  <si>
    <t>Loris Franchi</t>
  </si>
  <si>
    <t>fixed Macros</t>
  </si>
  <si>
    <t>added trade space macros for local design alternatives exploration</t>
  </si>
  <si>
    <r>
      <rPr>
        <b/>
        <sz val="11"/>
        <color theme="1"/>
        <rFont val="Calibri"/>
        <family val="2"/>
        <scheme val="minor"/>
      </rPr>
      <t xml:space="preserve">Mission Phases and System Modes
</t>
    </r>
    <r>
      <rPr>
        <sz val="10"/>
        <rFont val="Times New Roman"/>
        <family val="1"/>
      </rPr>
      <t>Add description here</t>
    </r>
  </si>
  <si>
    <t>Mission Phases</t>
  </si>
  <si>
    <t>Phase</t>
  </si>
  <si>
    <t>Description</t>
  </si>
  <si>
    <t>Mode</t>
  </si>
  <si>
    <t>Launch</t>
  </si>
  <si>
    <t>Acquisition</t>
  </si>
  <si>
    <t>LEOP</t>
  </si>
  <si>
    <t>Orbit Insertion</t>
  </si>
  <si>
    <t>TransferToOrbit</t>
  </si>
  <si>
    <t>Nominal Mission</t>
  </si>
  <si>
    <t>Science</t>
  </si>
  <si>
    <t>Slew</t>
  </si>
  <si>
    <t>Disposal</t>
  </si>
  <si>
    <t>Contingency</t>
  </si>
  <si>
    <t>Special</t>
  </si>
  <si>
    <t>Propulsion Modes</t>
  </si>
  <si>
    <t>Spacecraft Dry Mass [without margin]</t>
  </si>
  <si>
    <t>Spacecraft mass margin</t>
  </si>
  <si>
    <t>Trade-off table</t>
  </si>
  <si>
    <t>1. Fill in the names of the trade-off parameters in the green priority list. Leave empty if no parameter</t>
  </si>
  <si>
    <t>&gt;</t>
  </si>
  <si>
    <t>R. Biesbroek</t>
  </si>
  <si>
    <t>=</t>
  </si>
  <si>
    <t>TEC-SYE</t>
  </si>
  <si>
    <t>This will automatically create the weight factor definition table.  (replace them if you do not agree with the outcome)</t>
  </si>
  <si>
    <t>3. Define the options e.g. replace 'text 1' by 'chemical propulsion platform'</t>
  </si>
  <si>
    <t>5. The bottom row will give the ranking of the options, taking into account the weight factors</t>
  </si>
  <si>
    <t>Please fill in only the GREEN parts in the tables!</t>
  </si>
  <si>
    <t>Please insert trade-off parameter names  in the green list and select condition ('&gt;' or '=')from the drop-down menu's: (order in terms of decreasing importance)</t>
  </si>
  <si>
    <t>Parameter1</t>
  </si>
  <si>
    <t>parameter2</t>
  </si>
  <si>
    <t>parameter3</t>
  </si>
  <si>
    <t>parameter4</t>
  </si>
  <si>
    <t>parameter5</t>
  </si>
  <si>
    <t>parameter6</t>
  </si>
  <si>
    <t>parameter7</t>
  </si>
  <si>
    <t>parameter8</t>
  </si>
  <si>
    <t>parameter9</t>
  </si>
  <si>
    <t>parameter10</t>
  </si>
  <si>
    <t>Priority List</t>
  </si>
  <si>
    <t>E</t>
  </si>
  <si>
    <t>Value:</t>
  </si>
  <si>
    <t>Weight factor
definition
table</t>
  </si>
  <si>
    <t>Total score</t>
  </si>
  <si>
    <t>Scaled score
(&gt;=1)</t>
  </si>
  <si>
    <t>Weight factor 
(0..1)</t>
  </si>
  <si>
    <t>Trade-off table. Please define the option names, and fill in the score for each option, for each parameter. The bottom row will show the ranking</t>
  </si>
  <si>
    <t>Options
definition:</t>
  </si>
  <si>
    <t>Option 1</t>
  </si>
  <si>
    <t>Option 2</t>
  </si>
  <si>
    <t>Option 3</t>
  </si>
  <si>
    <t>Option 4</t>
  </si>
  <si>
    <t>Option 5</t>
  </si>
  <si>
    <t>Option 6</t>
  </si>
  <si>
    <t>Option 7</t>
  </si>
  <si>
    <t>Option 8</t>
  </si>
  <si>
    <t>Option 9</t>
  </si>
  <si>
    <t>Option 10</t>
  </si>
  <si>
    <t>Option 11</t>
  </si>
  <si>
    <t>Option 12</t>
  </si>
  <si>
    <t>Option 13</t>
  </si>
  <si>
    <t>Option 14</t>
  </si>
  <si>
    <t>Option 15</t>
  </si>
  <si>
    <t>Weight
Factor
(1..10)</t>
  </si>
  <si>
    <t>text 1</t>
  </si>
  <si>
    <t>text 2</t>
  </si>
  <si>
    <t>text 3</t>
  </si>
  <si>
    <t>text 4</t>
  </si>
  <si>
    <t>text 5</t>
  </si>
  <si>
    <t>text 6</t>
  </si>
  <si>
    <t>text 7</t>
  </si>
  <si>
    <t>text 8</t>
  </si>
  <si>
    <t>text 9</t>
  </si>
  <si>
    <t>text 10</t>
  </si>
  <si>
    <t>text 11</t>
  </si>
  <si>
    <t>text 12</t>
  </si>
  <si>
    <t>text 13</t>
  </si>
  <si>
    <t>text 14</t>
  </si>
  <si>
    <t>text 15</t>
  </si>
  <si>
    <t>Ranking</t>
  </si>
  <si>
    <t>Version 1.4</t>
  </si>
  <si>
    <t xml:space="preserve">2. Rank the parameters in order of priority and indicate if a parameter is more important (&gt;) or equally important (=) than the next one. </t>
  </si>
  <si>
    <t>Politecnico di Torino</t>
  </si>
  <si>
    <t>4. Fill in the trade-off table by assigning a score to each option for each key trade-off parameter. Use the same scale, e.g. 1 to 5</t>
  </si>
  <si>
    <t>Cost</t>
  </si>
  <si>
    <t>Equilibrium temperature</t>
  </si>
  <si>
    <t>Key trade-off parameters &amp; weight factor definition. This table is automatically produced and requires no inputs</t>
  </si>
  <si>
    <t>Key trade-off Parameter</t>
  </si>
  <si>
    <t>Add options and parameters to Radar Chart:</t>
  </si>
  <si>
    <t>1. Right click on the radar chart</t>
  </si>
  <si>
    <t xml:space="preserve">2. Click on select data </t>
  </si>
  <si>
    <t>3. In horizontal axes label select or unselect the parameters that will be displayed</t>
  </si>
  <si>
    <t xml:space="preserve">4. in legend entries click add </t>
  </si>
  <si>
    <t>5. Select option name ( row 30 column x ) as series name</t>
  </si>
  <si>
    <t>6. select the value of each parameter related to the option for values</t>
  </si>
  <si>
    <t>For constants please refere to Space mission analysis and design third edition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</si>
</sst>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_(* \(#,##0.00\);_(* &quot;-&quot;??_);_(@_)"/>
    <numFmt numFmtId="164" formatCode="0.0000E+00"/>
    <numFmt numFmtId="165" formatCode="0.0"/>
    <numFmt numFmtId="166" formatCode="0.000"/>
    <numFmt numFmtId="167" formatCode="0.0000"/>
    <numFmt numFmtId="168" formatCode="0.0%"/>
    <numFmt numFmtId="169" formatCode="0.000E+00"/>
    <numFmt numFmtId="170" formatCode="m/d/yyyy;@"/>
    <numFmt numFmtId="171" formatCode="#,##0.000"/>
  </numFmts>
  <fonts count="69">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amily val="1"/>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Times New Roman"/>
      <family val="1"/>
    </font>
    <font>
      <b/>
      <sz val="10"/>
      <name val="Times New Roman"/>
      <family val="1"/>
    </font>
    <font>
      <i/>
      <sz val="10"/>
      <name val="Times New Roman"/>
      <family val="1"/>
    </font>
    <font>
      <b/>
      <sz val="14"/>
      <name val="Times New Roman"/>
      <family val="1"/>
    </font>
    <font>
      <b/>
      <i/>
      <sz val="11"/>
      <name val="Times New Roman"/>
      <family val="1"/>
    </font>
    <font>
      <b/>
      <i/>
      <sz val="10"/>
      <name val="Times New Roman"/>
      <family val="1"/>
    </font>
    <font>
      <sz val="8"/>
      <color indexed="81"/>
      <name val="Times New Roman"/>
      <family val="1"/>
    </font>
    <font>
      <sz val="8"/>
      <color indexed="81"/>
      <name val="Tahoma"/>
      <family val="2"/>
    </font>
    <font>
      <sz val="10"/>
      <color theme="3" tint="0.39997558519241921"/>
      <name val="Times New Roman"/>
      <family val="1"/>
    </font>
    <font>
      <sz val="10"/>
      <color theme="0"/>
      <name val="Times New Roman"/>
      <family val="1"/>
    </font>
    <font>
      <sz val="10"/>
      <color theme="4" tint="0.79998168889431442"/>
      <name val="Times New Roman"/>
      <family val="1"/>
    </font>
    <font>
      <sz val="9"/>
      <color indexed="81"/>
      <name val="Tahoma"/>
      <family val="2"/>
    </font>
    <font>
      <sz val="9"/>
      <color rgb="FF000000"/>
      <name val="Times New Roman"/>
      <family val="1"/>
    </font>
    <font>
      <b/>
      <sz val="11"/>
      <name val="Times New Roman"/>
      <family val="1"/>
    </font>
    <font>
      <sz val="1"/>
      <name val="Times New Roman"/>
      <family val="1"/>
    </font>
    <font>
      <b/>
      <sz val="10"/>
      <name val="Segoe UI"/>
      <family val="2"/>
    </font>
    <font>
      <sz val="10"/>
      <name val="Segoe UI"/>
      <family val="2"/>
    </font>
    <font>
      <i/>
      <sz val="10"/>
      <name val="Segoe UI"/>
      <family val="2"/>
    </font>
    <font>
      <i/>
      <sz val="9"/>
      <name val="Segoe UI"/>
      <family val="2"/>
    </font>
    <font>
      <sz val="10"/>
      <name val="Arial"/>
      <family val="2"/>
    </font>
    <font>
      <sz val="10"/>
      <name val="Geneva"/>
    </font>
    <font>
      <b/>
      <sz val="10"/>
      <name val="Geneva"/>
    </font>
    <font>
      <b/>
      <sz val="9"/>
      <name val="Geneva"/>
    </font>
    <font>
      <b/>
      <i/>
      <sz val="10"/>
      <name val="Geneva"/>
    </font>
    <font>
      <b/>
      <sz val="9"/>
      <name val="Georgia"/>
      <family val="1"/>
    </font>
    <font>
      <b/>
      <vertAlign val="subscript"/>
      <sz val="9"/>
      <name val="Geneva"/>
    </font>
    <font>
      <vertAlign val="superscript"/>
      <sz val="10"/>
      <name val="Geneva"/>
    </font>
    <font>
      <sz val="8"/>
      <name val="Segoe UI"/>
      <family val="2"/>
    </font>
    <font>
      <b/>
      <sz val="8"/>
      <name val="Segoe UI"/>
      <family val="2"/>
    </font>
    <font>
      <b/>
      <i/>
      <sz val="8"/>
      <name val="Segoe UI"/>
      <family val="2"/>
    </font>
    <font>
      <b/>
      <sz val="9"/>
      <color indexed="81"/>
      <name val="Tahoma"/>
      <family val="2"/>
    </font>
    <font>
      <b/>
      <sz val="16"/>
      <name val="Times New Roman"/>
      <family val="1"/>
    </font>
    <font>
      <sz val="10"/>
      <color rgb="FF000000"/>
      <name val="Times New Roman"/>
      <family val="1"/>
    </font>
    <font>
      <sz val="11"/>
      <color rgb="FF000000"/>
      <name val="Georgia"/>
      <family val="2"/>
    </font>
    <font>
      <sz val="11"/>
      <color rgb="FFFFFFFF"/>
      <name val="Georgia"/>
      <family val="2"/>
    </font>
    <font>
      <sz val="16"/>
      <name val="Times New Roman"/>
      <family val="1"/>
    </font>
    <font>
      <b/>
      <sz val="11"/>
      <color theme="1"/>
      <name val="Calibri"/>
      <family val="2"/>
      <scheme val="minor"/>
    </font>
    <font>
      <sz val="10"/>
      <color theme="1"/>
      <name val="Georgia"/>
      <family val="1"/>
    </font>
    <font>
      <sz val="12"/>
      <color theme="1"/>
      <name val="Georgia"/>
      <family val="1"/>
    </font>
    <font>
      <b/>
      <sz val="12"/>
      <color theme="1"/>
      <name val="Georgia"/>
      <family val="1"/>
    </font>
    <font>
      <sz val="11"/>
      <color indexed="8"/>
      <name val="Georgia"/>
      <family val="2"/>
    </font>
    <font>
      <sz val="11"/>
      <color indexed="9"/>
      <name val="Georgia"/>
      <family val="2"/>
    </font>
    <font>
      <b/>
      <sz val="18"/>
      <color theme="1"/>
      <name val="Calibri"/>
      <family val="2"/>
      <scheme val="minor"/>
    </font>
    <font>
      <i/>
      <sz val="11"/>
      <color theme="1"/>
      <name val="Calibri"/>
      <family val="2"/>
      <scheme val="minor"/>
    </font>
    <font>
      <b/>
      <i/>
      <sz val="11"/>
      <color theme="4" tint="-0.499984740745262"/>
      <name val="Calibri"/>
      <family val="2"/>
      <scheme val="minor"/>
    </font>
    <font>
      <b/>
      <sz val="22"/>
      <name val="Segoe UI"/>
      <family val="2"/>
    </font>
  </fonts>
  <fills count="5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theme="3" tint="0.39997558519241921"/>
        <bgColor indexed="64"/>
      </patternFill>
    </fill>
    <fill>
      <patternFill patternType="solid">
        <fgColor theme="0"/>
        <bgColor indexed="64"/>
      </patternFill>
    </fill>
    <fill>
      <gradientFill degree="270">
        <stop position="0">
          <color theme="4" tint="0.80001220740379042"/>
        </stop>
        <stop position="1">
          <color theme="4"/>
        </stop>
      </gradientFill>
    </fill>
    <fill>
      <patternFill patternType="solid">
        <fgColor theme="4" tint="0.79998168889431442"/>
        <bgColor indexed="64"/>
      </patternFill>
    </fill>
    <fill>
      <gradientFill degree="270">
        <stop position="0">
          <color theme="8" tint="0.80001220740379042"/>
        </stop>
        <stop position="1">
          <color theme="8" tint="-0.25098422193060094"/>
        </stop>
      </gradientFill>
    </fill>
    <fill>
      <patternFill patternType="solid">
        <fgColor theme="8" tint="0.79998168889431442"/>
        <bgColor indexed="64"/>
      </patternFill>
    </fill>
    <fill>
      <gradientFill degree="270">
        <stop position="0">
          <color theme="0" tint="-5.0965910824915313E-2"/>
        </stop>
        <stop position="1">
          <color theme="0" tint="-0.49803155613879818"/>
        </stop>
      </gradientFill>
    </fill>
    <fill>
      <patternFill patternType="solid">
        <fgColor theme="0" tint="-4.9989318521683403E-2"/>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rgb="FFFFFFCC"/>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FF66"/>
        <bgColor indexed="64"/>
      </patternFill>
    </fill>
    <fill>
      <patternFill patternType="solid">
        <fgColor rgb="FF00B0F0"/>
        <bgColor indexed="64"/>
      </patternFill>
    </fill>
    <fill>
      <patternFill patternType="solid">
        <fgColor rgb="FF95B3D7"/>
        <bgColor indexed="64"/>
      </patternFill>
    </fill>
    <fill>
      <patternFill patternType="solid">
        <fgColor rgb="FFDCE6F1"/>
        <bgColor indexed="64"/>
      </patternFill>
    </fill>
    <fill>
      <patternFill patternType="solid">
        <fgColor theme="8" tint="0.59999389629810485"/>
        <bgColor indexed="64"/>
      </patternFill>
    </fill>
    <fill>
      <patternFill patternType="solid">
        <fgColor rgb="FF002664"/>
      </patternFill>
    </fill>
    <fill>
      <patternFill patternType="solid">
        <fgColor rgb="FF0D4A81"/>
        <bgColor indexed="64"/>
      </patternFill>
    </fill>
    <fill>
      <patternFill patternType="solid">
        <fgColor rgb="FFAACAEA"/>
      </patternFill>
    </fill>
    <fill>
      <patternFill patternType="solid">
        <fgColor rgb="FF0098DB"/>
      </patternFill>
    </fill>
    <fill>
      <patternFill patternType="solid">
        <fgColor theme="3" tint="0.59999389629810485"/>
        <bgColor indexed="64"/>
      </patternFill>
    </fill>
    <fill>
      <patternFill patternType="solid">
        <fgColor theme="3" tint="0.79998168889431442"/>
        <bgColor indexed="64"/>
      </patternFill>
    </fill>
    <fill>
      <patternFill patternType="solid">
        <fgColor indexed="62"/>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34998626667073579"/>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ck">
        <color theme="4" tint="-0.249977111117893"/>
      </left>
      <right/>
      <top style="thick">
        <color theme="4" tint="-0.249977111117893"/>
      </top>
      <bottom/>
      <diagonal/>
    </border>
    <border>
      <left/>
      <right/>
      <top style="thick">
        <color theme="4" tint="-0.249977111117893"/>
      </top>
      <bottom/>
      <diagonal/>
    </border>
    <border>
      <left/>
      <right style="thick">
        <color theme="4" tint="-0.249977111117893"/>
      </right>
      <top style="thick">
        <color theme="4" tint="-0.249977111117893"/>
      </top>
      <bottom/>
      <diagonal/>
    </border>
    <border>
      <left style="thick">
        <color theme="4" tint="-0.249977111117893"/>
      </left>
      <right/>
      <top/>
      <bottom/>
      <diagonal/>
    </border>
    <border>
      <left/>
      <right style="thick">
        <color theme="4" tint="-0.249977111117893"/>
      </right>
      <top/>
      <bottom/>
      <diagonal/>
    </border>
    <border>
      <left style="thick">
        <color theme="4" tint="-0.249977111117893"/>
      </left>
      <right/>
      <top/>
      <bottom style="thick">
        <color theme="4" tint="-0.249977111117893"/>
      </bottom>
      <diagonal/>
    </border>
    <border>
      <left/>
      <right/>
      <top/>
      <bottom style="thick">
        <color theme="4" tint="-0.249977111117893"/>
      </bottom>
      <diagonal/>
    </border>
    <border>
      <left/>
      <right style="thick">
        <color theme="4" tint="-0.249977111117893"/>
      </right>
      <top/>
      <bottom style="thick">
        <color theme="4" tint="-0.249977111117893"/>
      </bottom>
      <diagonal/>
    </border>
    <border>
      <left style="thick">
        <color theme="8" tint="-0.249977111117893"/>
      </left>
      <right/>
      <top style="thick">
        <color theme="8" tint="-0.249977111117893"/>
      </top>
      <bottom/>
      <diagonal/>
    </border>
    <border>
      <left/>
      <right/>
      <top style="thick">
        <color theme="8" tint="-0.249977111117893"/>
      </top>
      <bottom/>
      <diagonal/>
    </border>
    <border>
      <left/>
      <right style="thick">
        <color theme="8" tint="-0.249977111117893"/>
      </right>
      <top style="thick">
        <color theme="8" tint="-0.249977111117893"/>
      </top>
      <bottom/>
      <diagonal/>
    </border>
    <border>
      <left style="thick">
        <color theme="8" tint="-0.249977111117893"/>
      </left>
      <right/>
      <top/>
      <bottom/>
      <diagonal/>
    </border>
    <border>
      <left/>
      <right style="thick">
        <color theme="8" tint="-0.249977111117893"/>
      </right>
      <top/>
      <bottom/>
      <diagonal/>
    </border>
    <border>
      <left style="thick">
        <color theme="8" tint="-0.249977111117893"/>
      </left>
      <right/>
      <top/>
      <bottom style="thick">
        <color theme="8" tint="-0.249977111117893"/>
      </bottom>
      <diagonal/>
    </border>
    <border>
      <left/>
      <right/>
      <top/>
      <bottom style="thick">
        <color theme="8" tint="-0.249977111117893"/>
      </bottom>
      <diagonal/>
    </border>
    <border>
      <left/>
      <right style="thick">
        <color theme="8" tint="-0.249977111117893"/>
      </right>
      <top/>
      <bottom style="thick">
        <color theme="8" tint="-0.249977111117893"/>
      </bottom>
      <diagonal/>
    </border>
    <border>
      <left style="thick">
        <color theme="0" tint="-0.499984740745262"/>
      </left>
      <right/>
      <top style="thick">
        <color theme="0" tint="-0.499984740745262"/>
      </top>
      <bottom/>
      <diagonal/>
    </border>
    <border>
      <left/>
      <right/>
      <top style="thick">
        <color theme="0" tint="-0.499984740745262"/>
      </top>
      <bottom/>
      <diagonal/>
    </border>
    <border>
      <left/>
      <right style="thick">
        <color theme="0" tint="-0.499984740745262"/>
      </right>
      <top style="thick">
        <color theme="0" tint="-0.499984740745262"/>
      </top>
      <bottom/>
      <diagonal/>
    </border>
    <border>
      <left style="thick">
        <color theme="0" tint="-0.499984740745262"/>
      </left>
      <right/>
      <top/>
      <bottom/>
      <diagonal/>
    </border>
    <border>
      <left/>
      <right style="thick">
        <color theme="0" tint="-0.499984740745262"/>
      </right>
      <top/>
      <bottom/>
      <diagonal/>
    </border>
    <border>
      <left style="thick">
        <color theme="0" tint="-0.499984740745262"/>
      </left>
      <right/>
      <top/>
      <bottom style="thick">
        <color theme="0" tint="-0.499984740745262"/>
      </bottom>
      <diagonal/>
    </border>
    <border>
      <left/>
      <right/>
      <top/>
      <bottom style="thick">
        <color theme="0" tint="-0.499984740745262"/>
      </bottom>
      <diagonal/>
    </border>
    <border>
      <left/>
      <right style="thick">
        <color theme="0" tint="-0.499984740745262"/>
      </right>
      <top/>
      <bottom style="thick">
        <color theme="0"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right/>
      <top/>
      <bottom style="thick">
        <color auto="1"/>
      </bottom>
      <diagonal/>
    </border>
    <border>
      <left/>
      <right style="thick">
        <color auto="1"/>
      </right>
      <top/>
      <bottom style="thick">
        <color auto="1"/>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s>
  <cellStyleXfs count="138">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43" fontId="4" fillId="0" borderId="0" applyFon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18" fillId="23" borderId="7" applyNumberFormat="0" applyFont="0" applyAlignment="0" applyProtection="0"/>
    <xf numFmtId="0" fontId="19" fillId="20" borderId="8" applyNumberFormat="0" applyAlignment="0" applyProtection="0"/>
    <xf numFmtId="9" fontId="4" fillId="0" borderId="0" applyFont="0" applyFill="0" applyBorder="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5" fillId="7" borderId="1" applyNumberFormat="0" applyAlignment="0" applyProtection="0"/>
    <xf numFmtId="0" fontId="19" fillId="20" borderId="8" applyNumberFormat="0" applyAlignment="0" applyProtection="0"/>
    <xf numFmtId="0" fontId="8" fillId="20" borderId="1" applyNumberFormat="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21" fillId="0" borderId="9" applyNumberFormat="0" applyFill="0" applyAlignment="0" applyProtection="0"/>
    <xf numFmtId="0" fontId="9" fillId="21" borderId="2" applyNumberFormat="0" applyAlignment="0" applyProtection="0"/>
    <xf numFmtId="0" fontId="20" fillId="0" borderId="0" applyNumberFormat="0" applyFill="0" applyBorder="0" applyAlignment="0" applyProtection="0"/>
    <xf numFmtId="0" fontId="17" fillId="22" borderId="0" applyNumberFormat="0" applyBorder="0" applyAlignment="0" applyProtection="0"/>
    <xf numFmtId="0" fontId="7" fillId="3" borderId="0" applyNumberFormat="0" applyBorder="0" applyAlignment="0" applyProtection="0"/>
    <xf numFmtId="0" fontId="10" fillId="0" borderId="0" applyNumberFormat="0" applyFill="0" applyBorder="0" applyAlignment="0" applyProtection="0"/>
    <xf numFmtId="0" fontId="18" fillId="23" borderId="7" applyNumberFormat="0" applyFont="0" applyAlignment="0" applyProtection="0"/>
    <xf numFmtId="0" fontId="16" fillId="0" borderId="6" applyNumberFormat="0" applyFill="0" applyAlignment="0" applyProtection="0"/>
    <xf numFmtId="0" fontId="22" fillId="0" borderId="0" applyNumberFormat="0" applyFill="0" applyBorder="0" applyAlignment="0" applyProtection="0"/>
    <xf numFmtId="0" fontId="11" fillId="4" borderId="0" applyNumberFormat="0" applyBorder="0" applyAlignment="0" applyProtection="0"/>
    <xf numFmtId="0" fontId="42" fillId="0" borderId="0"/>
    <xf numFmtId="0" fontId="56" fillId="0" borderId="0" applyProtection="0"/>
    <xf numFmtId="0" fontId="57" fillId="45" borderId="0" applyNumberFormat="0" applyBorder="0" applyAlignment="0" applyProtection="0"/>
    <xf numFmtId="0" fontId="57" fillId="46" borderId="0" applyNumberFormat="0" applyBorder="0" applyAlignment="0" applyProtection="0"/>
    <xf numFmtId="0" fontId="57" fillId="47" borderId="0" applyNumberFormat="0" applyBorder="0" applyAlignment="0" applyProtection="0"/>
    <xf numFmtId="0" fontId="57" fillId="48" borderId="0" applyNumberFormat="0" applyBorder="0" applyAlignment="0" applyProtection="0"/>
    <xf numFmtId="0" fontId="21" fillId="0" borderId="9" applyNumberFormat="0" applyFill="0" applyAlignment="0" applyProtection="0"/>
    <xf numFmtId="0" fontId="15" fillId="7" borderId="1" applyNumberFormat="0" applyAlignment="0" applyProtection="0"/>
    <xf numFmtId="0" fontId="19" fillId="20" borderId="8" applyNumberFormat="0" applyAlignment="0" applyProtection="0"/>
    <xf numFmtId="0" fontId="22" fillId="0" borderId="0" applyNumberFormat="0" applyFill="0" applyBorder="0" applyAlignment="0" applyProtection="0"/>
    <xf numFmtId="0" fontId="7" fillId="3" borderId="0" applyNumberFormat="0" applyBorder="0" applyAlignment="0" applyProtection="0"/>
    <xf numFmtId="0" fontId="11" fillId="4" borderId="0" applyNumberFormat="0" applyBorder="0" applyAlignment="0" applyProtection="0"/>
    <xf numFmtId="0" fontId="20" fillId="0" borderId="0" applyNumberFormat="0" applyFill="0" applyBorder="0" applyAlignment="0" applyProtection="0"/>
    <xf numFmtId="0" fontId="10" fillId="0" borderId="0" applyNumberFormat="0" applyFill="0" applyBorder="0" applyAlignment="0" applyProtection="0"/>
    <xf numFmtId="0" fontId="16" fillId="0" borderId="6" applyNumberFormat="0" applyFill="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8" fillId="23" borderId="7" applyNumberFormat="0" applyFont="0" applyAlignment="0" applyProtection="0"/>
    <xf numFmtId="0" fontId="17" fillId="22" borderId="0" applyNumberFormat="0" applyBorder="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3" fillId="0" borderId="0"/>
    <xf numFmtId="0" fontId="63" fillId="0" borderId="0" applyProtection="0"/>
    <xf numFmtId="0" fontId="63" fillId="0" borderId="0" applyProtection="0"/>
    <xf numFmtId="0" fontId="18" fillId="0" borderId="0"/>
    <xf numFmtId="0" fontId="2" fillId="0" borderId="0"/>
    <xf numFmtId="0" fontId="5" fillId="0" borderId="0"/>
    <xf numFmtId="0" fontId="1" fillId="0" borderId="0"/>
  </cellStyleXfs>
  <cellXfs count="419">
    <xf numFmtId="0" fontId="0" fillId="0" borderId="0" xfId="0"/>
    <xf numFmtId="0" fontId="0" fillId="25" borderId="0" xfId="0" applyFill="1"/>
    <xf numFmtId="0" fontId="18" fillId="26" borderId="0" xfId="0" applyFont="1" applyFill="1" applyProtection="1"/>
    <xf numFmtId="0" fontId="24" fillId="26" borderId="0" xfId="0" applyFont="1" applyFill="1" applyProtection="1"/>
    <xf numFmtId="0" fontId="24" fillId="26" borderId="0" xfId="0" applyFont="1" applyFill="1" applyAlignment="1" applyProtection="1">
      <alignment horizontal="center"/>
    </xf>
    <xf numFmtId="0" fontId="26" fillId="27" borderId="0" xfId="0" applyFont="1" applyFill="1" applyAlignment="1" applyProtection="1">
      <alignment horizontal="centerContinuous"/>
    </xf>
    <xf numFmtId="0" fontId="18" fillId="27" borderId="0" xfId="0" applyFont="1" applyFill="1" applyAlignment="1" applyProtection="1">
      <alignment horizontal="centerContinuous"/>
    </xf>
    <xf numFmtId="0" fontId="24" fillId="27" borderId="0" xfId="0" applyFont="1" applyFill="1" applyAlignment="1" applyProtection="1">
      <alignment horizontal="centerContinuous"/>
    </xf>
    <xf numFmtId="0" fontId="18" fillId="27" borderId="0" xfId="0" applyFont="1" applyFill="1" applyAlignment="1" applyProtection="1">
      <alignment horizontal="left"/>
    </xf>
    <xf numFmtId="0" fontId="18" fillId="27" borderId="0" xfId="0" applyFont="1" applyFill="1" applyProtection="1"/>
    <xf numFmtId="0" fontId="24" fillId="27" borderId="0" xfId="0" applyFont="1" applyFill="1" applyAlignment="1" applyProtection="1">
      <alignment horizontal="left"/>
    </xf>
    <xf numFmtId="0" fontId="31" fillId="26" borderId="0" xfId="0" applyFont="1" applyFill="1" applyProtection="1"/>
    <xf numFmtId="0" fontId="24" fillId="27" borderId="0" xfId="0" applyFont="1" applyFill="1" applyProtection="1"/>
    <xf numFmtId="0" fontId="24" fillId="27" borderId="0" xfId="0" applyFont="1" applyFill="1" applyAlignment="1" applyProtection="1">
      <alignment horizontal="center"/>
    </xf>
    <xf numFmtId="0" fontId="24" fillId="29" borderId="0" xfId="0" applyFont="1" applyFill="1" applyAlignment="1" applyProtection="1">
      <alignment horizontal="center"/>
    </xf>
    <xf numFmtId="0" fontId="18" fillId="29" borderId="0" xfId="0" applyFont="1" applyFill="1" applyBorder="1" applyProtection="1"/>
    <xf numFmtId="0" fontId="24" fillId="29" borderId="0" xfId="0" applyFont="1" applyFill="1" applyProtection="1"/>
    <xf numFmtId="0" fontId="18" fillId="29" borderId="14" xfId="0" applyFont="1" applyFill="1" applyBorder="1" applyProtection="1"/>
    <xf numFmtId="0" fontId="24" fillId="29" borderId="0" xfId="0" applyFont="1" applyFill="1" applyBorder="1" applyAlignment="1" applyProtection="1">
      <alignment horizontal="center"/>
    </xf>
    <xf numFmtId="0" fontId="24" fillId="29" borderId="15" xfId="0" applyFont="1" applyFill="1" applyBorder="1" applyAlignment="1" applyProtection="1">
      <alignment horizontal="center"/>
    </xf>
    <xf numFmtId="165" fontId="24" fillId="29" borderId="0" xfId="0" applyNumberFormat="1" applyFont="1" applyFill="1" applyBorder="1" applyProtection="1"/>
    <xf numFmtId="167" fontId="24" fillId="29" borderId="0" xfId="58" applyNumberFormat="1" applyFont="1" applyFill="1" applyBorder="1" applyProtection="1"/>
    <xf numFmtId="0" fontId="32" fillId="29" borderId="15" xfId="0" applyNumberFormat="1" applyFont="1" applyFill="1" applyBorder="1" applyProtection="1"/>
    <xf numFmtId="164" fontId="24" fillId="29" borderId="0" xfId="0" applyNumberFormat="1" applyFont="1" applyFill="1" applyBorder="1" applyProtection="1"/>
    <xf numFmtId="2" fontId="24" fillId="29" borderId="0" xfId="0" applyNumberFormat="1" applyFont="1" applyFill="1" applyBorder="1" applyProtection="1"/>
    <xf numFmtId="0" fontId="18" fillId="29" borderId="15" xfId="0" applyFont="1" applyFill="1" applyBorder="1" applyProtection="1"/>
    <xf numFmtId="167" fontId="24" fillId="29" borderId="0" xfId="0" applyNumberFormat="1" applyFont="1" applyFill="1" applyBorder="1" applyProtection="1"/>
    <xf numFmtId="168" fontId="24" fillId="29" borderId="0" xfId="58" applyNumberFormat="1" applyFont="1" applyFill="1" applyBorder="1" applyProtection="1"/>
    <xf numFmtId="169" fontId="24" fillId="29" borderId="0" xfId="0" applyNumberFormat="1" applyFont="1" applyFill="1" applyBorder="1" applyProtection="1"/>
    <xf numFmtId="0" fontId="18" fillId="29" borderId="16" xfId="0" applyFont="1" applyFill="1" applyBorder="1" applyProtection="1"/>
    <xf numFmtId="0" fontId="18" fillId="29" borderId="17" xfId="0" applyFont="1" applyFill="1" applyBorder="1" applyProtection="1"/>
    <xf numFmtId="0" fontId="24" fillId="29" borderId="17" xfId="0" applyFont="1" applyFill="1" applyBorder="1" applyProtection="1"/>
    <xf numFmtId="0" fontId="24" fillId="29" borderId="17" xfId="0" applyFont="1" applyFill="1" applyBorder="1" applyAlignment="1" applyProtection="1">
      <alignment horizontal="center"/>
    </xf>
    <xf numFmtId="0" fontId="24" fillId="29" borderId="18" xfId="0" applyFont="1" applyFill="1" applyBorder="1" applyAlignment="1" applyProtection="1">
      <alignment horizontal="center"/>
    </xf>
    <xf numFmtId="0" fontId="27" fillId="27" borderId="0" xfId="0" applyFont="1" applyFill="1" applyAlignment="1" applyProtection="1">
      <alignment horizontal="center"/>
    </xf>
    <xf numFmtId="0" fontId="0" fillId="27" borderId="0" xfId="0" applyFill="1" applyAlignment="1"/>
    <xf numFmtId="0" fontId="24" fillId="29" borderId="0" xfId="0" applyFont="1" applyFill="1" applyBorder="1" applyProtection="1"/>
    <xf numFmtId="0" fontId="18" fillId="27" borderId="15" xfId="0" applyFont="1" applyFill="1" applyBorder="1" applyProtection="1"/>
    <xf numFmtId="0" fontId="18" fillId="31" borderId="0" xfId="0" applyFont="1" applyFill="1" applyProtection="1"/>
    <xf numFmtId="0" fontId="18" fillId="31" borderId="22" xfId="0" applyFont="1" applyFill="1" applyBorder="1" applyProtection="1"/>
    <xf numFmtId="0" fontId="18" fillId="31" borderId="0" xfId="0" applyFont="1" applyFill="1" applyBorder="1" applyProtection="1"/>
    <xf numFmtId="0" fontId="18" fillId="31" borderId="23" xfId="0" applyFont="1" applyFill="1" applyBorder="1" applyProtection="1"/>
    <xf numFmtId="165" fontId="24" fillId="31" borderId="0" xfId="0" applyNumberFormat="1" applyFont="1" applyFill="1" applyBorder="1" applyProtection="1"/>
    <xf numFmtId="0" fontId="24" fillId="31" borderId="0" xfId="0" applyFont="1" applyFill="1" applyBorder="1" applyAlignment="1" applyProtection="1">
      <alignment horizontal="center"/>
    </xf>
    <xf numFmtId="166" fontId="24" fillId="31" borderId="0" xfId="0" applyNumberFormat="1" applyFont="1" applyFill="1" applyBorder="1" applyProtection="1"/>
    <xf numFmtId="0" fontId="24" fillId="31" borderId="23" xfId="0" applyFont="1" applyFill="1" applyBorder="1" applyAlignment="1" applyProtection="1">
      <alignment horizontal="center"/>
    </xf>
    <xf numFmtId="0" fontId="24" fillId="31" borderId="0" xfId="0" applyFont="1" applyFill="1" applyBorder="1" applyProtection="1"/>
    <xf numFmtId="2" fontId="24" fillId="31" borderId="0" xfId="46" applyNumberFormat="1" applyFont="1" applyFill="1" applyBorder="1" applyProtection="1"/>
    <xf numFmtId="169" fontId="24" fillId="31" borderId="0" xfId="0" applyNumberFormat="1" applyFont="1" applyFill="1" applyBorder="1" applyProtection="1"/>
    <xf numFmtId="168" fontId="24" fillId="31" borderId="0" xfId="58" applyNumberFormat="1" applyFont="1" applyFill="1" applyBorder="1" applyProtection="1"/>
    <xf numFmtId="2" fontId="24" fillId="31" borderId="0" xfId="0" applyNumberFormat="1" applyFont="1" applyFill="1" applyBorder="1" applyProtection="1"/>
    <xf numFmtId="0" fontId="28" fillId="31" borderId="22" xfId="0" applyFont="1" applyFill="1" applyBorder="1" applyAlignment="1" applyProtection="1">
      <alignment horizontal="centerContinuous"/>
    </xf>
    <xf numFmtId="0" fontId="24" fillId="31" borderId="0" xfId="0" applyFont="1" applyFill="1" applyBorder="1" applyAlignment="1" applyProtection="1">
      <alignment horizontal="centerContinuous"/>
    </xf>
    <xf numFmtId="0" fontId="24" fillId="31" borderId="23" xfId="0" applyFont="1" applyFill="1" applyBorder="1" applyAlignment="1" applyProtection="1">
      <alignment horizontal="centerContinuous"/>
    </xf>
    <xf numFmtId="0" fontId="18" fillId="31" borderId="24" xfId="0" applyFont="1" applyFill="1" applyBorder="1" applyProtection="1"/>
    <xf numFmtId="0" fontId="18" fillId="31" borderId="25" xfId="0" applyFont="1" applyFill="1" applyBorder="1" applyProtection="1"/>
    <xf numFmtId="0" fontId="18" fillId="31" borderId="26" xfId="0" applyFont="1" applyFill="1" applyBorder="1" applyProtection="1"/>
    <xf numFmtId="0" fontId="18" fillId="33" borderId="30" xfId="0" applyFont="1" applyFill="1" applyBorder="1" applyProtection="1"/>
    <xf numFmtId="0" fontId="18" fillId="33" borderId="0" xfId="0" applyFont="1" applyFill="1" applyBorder="1" applyProtection="1"/>
    <xf numFmtId="0" fontId="18" fillId="33" borderId="31" xfId="0" applyFont="1" applyFill="1" applyBorder="1" applyProtection="1"/>
    <xf numFmtId="165" fontId="24" fillId="33" borderId="0" xfId="0" applyNumberFormat="1" applyFont="1" applyFill="1" applyBorder="1" applyProtection="1"/>
    <xf numFmtId="0" fontId="24" fillId="33" borderId="0" xfId="0" applyFont="1" applyFill="1" applyBorder="1" applyAlignment="1" applyProtection="1">
      <alignment horizontal="center"/>
    </xf>
    <xf numFmtId="2" fontId="24" fillId="33" borderId="0" xfId="0" applyNumberFormat="1" applyFont="1" applyFill="1" applyBorder="1" applyProtection="1"/>
    <xf numFmtId="0" fontId="24" fillId="33" borderId="31" xfId="0" applyFont="1" applyFill="1" applyBorder="1" applyAlignment="1" applyProtection="1">
      <alignment horizontal="center"/>
    </xf>
    <xf numFmtId="0" fontId="24" fillId="33" borderId="0" xfId="0" applyFont="1" applyFill="1" applyBorder="1" applyProtection="1"/>
    <xf numFmtId="166" fontId="24" fillId="33" borderId="0" xfId="0" applyNumberFormat="1" applyFont="1" applyFill="1" applyBorder="1" applyProtection="1"/>
    <xf numFmtId="10" fontId="24" fillId="33" borderId="0" xfId="58" applyNumberFormat="1" applyFont="1" applyFill="1" applyBorder="1" applyProtection="1"/>
    <xf numFmtId="9" fontId="18" fillId="33" borderId="0" xfId="58" applyFont="1" applyFill="1" applyBorder="1" applyProtection="1"/>
    <xf numFmtId="0" fontId="18" fillId="33" borderId="32" xfId="0" applyFont="1" applyFill="1" applyBorder="1" applyProtection="1"/>
    <xf numFmtId="0" fontId="18" fillId="33" borderId="33" xfId="0" applyFont="1" applyFill="1" applyBorder="1" applyProtection="1"/>
    <xf numFmtId="0" fontId="18" fillId="33" borderId="34" xfId="0" applyFont="1" applyFill="1" applyBorder="1" applyProtection="1"/>
    <xf numFmtId="0" fontId="33" fillId="29" borderId="0" xfId="0" applyFont="1" applyFill="1" applyProtection="1">
      <protection locked="0"/>
    </xf>
    <xf numFmtId="0" fontId="0" fillId="27" borderId="0" xfId="0" applyFont="1" applyFill="1" applyProtection="1"/>
    <xf numFmtId="0" fontId="0" fillId="27" borderId="0" xfId="0" applyFont="1" applyFill="1" applyAlignment="1" applyProtection="1">
      <alignment horizontal="right"/>
    </xf>
    <xf numFmtId="0" fontId="24" fillId="27" borderId="0" xfId="0" applyFont="1" applyFill="1" applyAlignment="1" applyProtection="1">
      <alignment horizontal="right"/>
    </xf>
    <xf numFmtId="0" fontId="18" fillId="37" borderId="14" xfId="0" applyFont="1" applyFill="1" applyBorder="1" applyProtection="1"/>
    <xf numFmtId="0" fontId="0" fillId="37" borderId="0" xfId="0" applyFont="1" applyFill="1" applyBorder="1" applyProtection="1"/>
    <xf numFmtId="0" fontId="18" fillId="37" borderId="0" xfId="0" applyFont="1" applyFill="1" applyBorder="1" applyProtection="1"/>
    <xf numFmtId="0" fontId="18" fillId="37" borderId="15" xfId="0" applyFont="1" applyFill="1" applyBorder="1" applyProtection="1"/>
    <xf numFmtId="0" fontId="0" fillId="37" borderId="14" xfId="0" applyFont="1" applyFill="1" applyBorder="1" applyProtection="1"/>
    <xf numFmtId="166" fontId="25" fillId="37" borderId="10" xfId="0" applyNumberFormat="1" applyFont="1" applyFill="1" applyBorder="1" applyProtection="1">
      <protection locked="0"/>
    </xf>
    <xf numFmtId="0" fontId="18" fillId="39" borderId="14" xfId="0" applyFont="1" applyFill="1" applyBorder="1" applyProtection="1"/>
    <xf numFmtId="0" fontId="0" fillId="39" borderId="0" xfId="0" applyFont="1" applyFill="1" applyBorder="1" applyProtection="1"/>
    <xf numFmtId="0" fontId="18" fillId="39" borderId="0" xfId="0" applyFont="1" applyFill="1" applyBorder="1" applyProtection="1"/>
    <xf numFmtId="165" fontId="24" fillId="39" borderId="0" xfId="0" applyNumberFormat="1" applyFont="1" applyFill="1" applyBorder="1" applyProtection="1"/>
    <xf numFmtId="0" fontId="24" fillId="39" borderId="15" xfId="0" applyFont="1" applyFill="1" applyBorder="1" applyAlignment="1" applyProtection="1">
      <alignment horizontal="center"/>
    </xf>
    <xf numFmtId="168" fontId="24" fillId="39" borderId="0" xfId="58" applyNumberFormat="1" applyFont="1" applyFill="1" applyBorder="1" applyProtection="1"/>
    <xf numFmtId="0" fontId="24" fillId="39" borderId="0" xfId="0" applyFont="1" applyFill="1" applyBorder="1" applyProtection="1"/>
    <xf numFmtId="0" fontId="24" fillId="37" borderId="0" xfId="0" applyFont="1" applyFill="1" applyBorder="1" applyProtection="1"/>
    <xf numFmtId="0" fontId="24" fillId="37" borderId="0" xfId="0" applyFont="1" applyFill="1" applyBorder="1" applyAlignment="1" applyProtection="1">
      <alignment horizontal="center"/>
    </xf>
    <xf numFmtId="0" fontId="24" fillId="39" borderId="0" xfId="0" applyFont="1" applyFill="1" applyBorder="1" applyAlignment="1" applyProtection="1">
      <alignment horizontal="center"/>
    </xf>
    <xf numFmtId="168" fontId="24" fillId="39" borderId="0" xfId="0" applyNumberFormat="1" applyFont="1" applyFill="1" applyBorder="1" applyProtection="1"/>
    <xf numFmtId="0" fontId="38" fillId="0" borderId="35" xfId="0" applyFont="1" applyBorder="1" applyProtection="1"/>
    <xf numFmtId="164" fontId="39" fillId="0" borderId="36" xfId="0" applyNumberFormat="1" applyFont="1" applyBorder="1" applyProtection="1"/>
    <xf numFmtId="0" fontId="39" fillId="0" borderId="37" xfId="0" applyFont="1" applyBorder="1" applyAlignment="1" applyProtection="1">
      <alignment horizontal="center"/>
    </xf>
    <xf numFmtId="0" fontId="39" fillId="0" borderId="0" xfId="0" applyFont="1" applyBorder="1" applyProtection="1"/>
    <xf numFmtId="0" fontId="38" fillId="0" borderId="0" xfId="0" applyFont="1" applyBorder="1" applyAlignment="1" applyProtection="1">
      <alignment horizontal="left"/>
    </xf>
    <xf numFmtId="0" fontId="38" fillId="0" borderId="38" xfId="0" applyFont="1" applyBorder="1" applyProtection="1"/>
    <xf numFmtId="164" fontId="39" fillId="0" borderId="0" xfId="0" applyNumberFormat="1" applyFont="1" applyBorder="1" applyProtection="1"/>
    <xf numFmtId="0" fontId="39" fillId="0" borderId="39" xfId="0" applyFont="1" applyBorder="1" applyAlignment="1" applyProtection="1">
      <alignment horizontal="center"/>
    </xf>
    <xf numFmtId="11" fontId="39" fillId="0" borderId="0" xfId="0" applyNumberFormat="1" applyFont="1" applyBorder="1" applyProtection="1"/>
    <xf numFmtId="0" fontId="38" fillId="41" borderId="10" xfId="0" applyFont="1" applyFill="1" applyBorder="1" applyAlignment="1" applyProtection="1">
      <alignment horizontal="left"/>
    </xf>
    <xf numFmtId="0" fontId="39" fillId="0" borderId="36" xfId="0" applyFont="1" applyBorder="1" applyProtection="1"/>
    <xf numFmtId="0" fontId="40" fillId="0" borderId="36" xfId="0" applyFont="1" applyBorder="1" applyAlignment="1" applyProtection="1">
      <alignment horizontal="centerContinuous"/>
    </xf>
    <xf numFmtId="0" fontId="39" fillId="0" borderId="36" xfId="0" applyFont="1" applyBorder="1" applyAlignment="1" applyProtection="1">
      <alignment horizontal="centerContinuous"/>
    </xf>
    <xf numFmtId="0" fontId="39" fillId="0" borderId="37" xfId="0" applyFont="1" applyBorder="1" applyAlignment="1" applyProtection="1">
      <alignment horizontal="centerContinuous"/>
    </xf>
    <xf numFmtId="0" fontId="39" fillId="0" borderId="35" xfId="0" applyFont="1" applyBorder="1" applyAlignment="1" applyProtection="1">
      <alignment horizontal="centerContinuous"/>
    </xf>
    <xf numFmtId="11" fontId="39" fillId="0" borderId="36" xfId="0" applyNumberFormat="1" applyFont="1" applyBorder="1" applyAlignment="1" applyProtection="1">
      <alignment horizontal="centerContinuous"/>
    </xf>
    <xf numFmtId="0" fontId="38" fillId="0" borderId="40" xfId="0" applyFont="1" applyBorder="1" applyProtection="1"/>
    <xf numFmtId="164" fontId="39" fillId="0" borderId="41" xfId="0" applyNumberFormat="1" applyFont="1" applyBorder="1" applyProtection="1"/>
    <xf numFmtId="0" fontId="39" fillId="0" borderId="42" xfId="0" applyFont="1" applyFill="1" applyBorder="1" applyAlignment="1" applyProtection="1">
      <alignment horizontal="center"/>
    </xf>
    <xf numFmtId="0" fontId="41" fillId="0" borderId="38" xfId="0" applyFont="1" applyBorder="1" applyAlignment="1" applyProtection="1">
      <alignment horizontal="center"/>
    </xf>
    <xf numFmtId="0" fontId="41" fillId="0" borderId="0" xfId="0" applyFont="1" applyBorder="1" applyAlignment="1" applyProtection="1">
      <alignment horizontal="center"/>
    </xf>
    <xf numFmtId="0" fontId="41" fillId="0" borderId="0" xfId="0" applyFont="1" applyBorder="1" applyAlignment="1" applyProtection="1">
      <alignment horizontal="centerContinuous"/>
    </xf>
    <xf numFmtId="0" fontId="41" fillId="0" borderId="39" xfId="0" applyFont="1" applyBorder="1" applyAlignment="1" applyProtection="1">
      <alignment horizontal="centerContinuous"/>
    </xf>
    <xf numFmtId="0" fontId="41" fillId="0" borderId="38" xfId="0" applyFont="1" applyBorder="1" applyAlignment="1" applyProtection="1">
      <alignment horizontal="centerContinuous"/>
    </xf>
    <xf numFmtId="0" fontId="39" fillId="0" borderId="39" xfId="0" applyFont="1" applyBorder="1" applyAlignment="1" applyProtection="1">
      <alignment horizontal="centerContinuous"/>
    </xf>
    <xf numFmtId="0" fontId="39" fillId="0" borderId="0" xfId="0" applyFont="1" applyBorder="1" applyAlignment="1" applyProtection="1">
      <alignment horizontal="center"/>
    </xf>
    <xf numFmtId="0" fontId="39" fillId="0" borderId="38" xfId="0" applyFont="1" applyBorder="1" applyProtection="1"/>
    <xf numFmtId="0" fontId="39" fillId="0" borderId="39" xfId="0" applyFont="1" applyBorder="1" applyProtection="1"/>
    <xf numFmtId="11" fontId="39" fillId="0" borderId="38" xfId="0" applyNumberFormat="1" applyFont="1" applyBorder="1" applyProtection="1"/>
    <xf numFmtId="11" fontId="39" fillId="0" borderId="39" xfId="0" applyNumberFormat="1" applyFont="1" applyBorder="1" applyProtection="1"/>
    <xf numFmtId="0" fontId="38" fillId="0" borderId="43" xfId="0" applyFont="1" applyFill="1" applyBorder="1" applyProtection="1"/>
    <xf numFmtId="0" fontId="39" fillId="0" borderId="44" xfId="0" applyFont="1" applyBorder="1" applyProtection="1"/>
    <xf numFmtId="0" fontId="39" fillId="0" borderId="45" xfId="0" applyFont="1" applyBorder="1" applyAlignment="1" applyProtection="1">
      <alignment horizontal="center"/>
    </xf>
    <xf numFmtId="0" fontId="38" fillId="0" borderId="35" xfId="0" applyFont="1" applyFill="1" applyBorder="1" applyProtection="1"/>
    <xf numFmtId="169" fontId="39" fillId="0" borderId="36" xfId="0" applyNumberFormat="1" applyFont="1" applyBorder="1" applyProtection="1"/>
    <xf numFmtId="0" fontId="38" fillId="0" borderId="38" xfId="0" applyFont="1" applyFill="1" applyBorder="1" applyProtection="1"/>
    <xf numFmtId="0" fontId="39" fillId="0" borderId="0" xfId="0" applyFont="1" applyFill="1" applyBorder="1" applyProtection="1"/>
    <xf numFmtId="167" fontId="39" fillId="0" borderId="0" xfId="0" applyNumberFormat="1" applyFont="1" applyBorder="1" applyProtection="1"/>
    <xf numFmtId="0" fontId="38" fillId="0" borderId="40" xfId="0" applyFont="1" applyFill="1" applyBorder="1" applyProtection="1"/>
    <xf numFmtId="167" fontId="39" fillId="0" borderId="41" xfId="0" applyNumberFormat="1" applyFont="1" applyBorder="1" applyProtection="1"/>
    <xf numFmtId="0" fontId="39" fillId="0" borderId="42" xfId="0" applyFont="1" applyBorder="1" applyAlignment="1" applyProtection="1">
      <alignment horizontal="center"/>
    </xf>
    <xf numFmtId="0" fontId="39" fillId="0" borderId="40" xfId="0" applyFont="1" applyBorder="1" applyProtection="1"/>
    <xf numFmtId="0" fontId="39" fillId="0" borderId="41" xfId="0" applyFont="1" applyBorder="1" applyProtection="1"/>
    <xf numFmtId="11" fontId="39" fillId="0" borderId="41" xfId="0" applyNumberFormat="1" applyFont="1" applyBorder="1" applyProtection="1"/>
    <xf numFmtId="0" fontId="39" fillId="0" borderId="42" xfId="0" applyFont="1" applyBorder="1" applyProtection="1"/>
    <xf numFmtId="11" fontId="39" fillId="0" borderId="40" xfId="0" applyNumberFormat="1" applyFont="1" applyBorder="1" applyProtection="1"/>
    <xf numFmtId="2" fontId="39" fillId="0" borderId="0" xfId="0" applyNumberFormat="1" applyFont="1" applyBorder="1" applyProtection="1"/>
    <xf numFmtId="11" fontId="39" fillId="0" borderId="0" xfId="0" applyNumberFormat="1" applyFont="1" applyProtection="1"/>
    <xf numFmtId="169" fontId="39" fillId="0" borderId="0" xfId="0" applyNumberFormat="1" applyFont="1" applyBorder="1" applyProtection="1"/>
    <xf numFmtId="165" fontId="39" fillId="0" borderId="0" xfId="0" applyNumberFormat="1" applyFont="1" applyBorder="1" applyProtection="1"/>
    <xf numFmtId="0" fontId="39" fillId="0" borderId="37" xfId="0" applyFont="1" applyBorder="1" applyProtection="1"/>
    <xf numFmtId="0" fontId="38" fillId="41" borderId="46" xfId="0" applyFont="1" applyFill="1" applyBorder="1" applyAlignment="1" applyProtection="1"/>
    <xf numFmtId="0" fontId="39" fillId="0" borderId="36" xfId="0" applyFont="1" applyBorder="1" applyAlignment="1" applyProtection="1">
      <alignment horizontal="center"/>
    </xf>
    <xf numFmtId="0" fontId="39" fillId="0" borderId="47" xfId="0" applyFont="1" applyBorder="1" applyAlignment="1" applyProtection="1">
      <alignment horizontal="center"/>
    </xf>
    <xf numFmtId="0" fontId="39" fillId="0" borderId="48" xfId="0" applyFont="1" applyBorder="1" applyProtection="1"/>
    <xf numFmtId="0" fontId="39" fillId="0" borderId="38" xfId="0" applyFont="1" applyBorder="1" applyAlignment="1" applyProtection="1">
      <alignment horizontal="left"/>
    </xf>
    <xf numFmtId="10" fontId="39" fillId="0" borderId="49" xfId="0" applyNumberFormat="1" applyFont="1" applyBorder="1" applyProtection="1"/>
    <xf numFmtId="10" fontId="39" fillId="0" borderId="0" xfId="0" applyNumberFormat="1" applyFont="1" applyBorder="1" applyProtection="1"/>
    <xf numFmtId="10" fontId="39" fillId="0" borderId="0" xfId="58" applyNumberFormat="1" applyFont="1" applyBorder="1" applyProtection="1"/>
    <xf numFmtId="10" fontId="39" fillId="0" borderId="39" xfId="58" applyNumberFormat="1" applyFont="1" applyBorder="1" applyProtection="1"/>
    <xf numFmtId="168" fontId="39" fillId="0" borderId="41" xfId="58" applyNumberFormat="1" applyFont="1" applyBorder="1" applyProtection="1"/>
    <xf numFmtId="0" fontId="39" fillId="0" borderId="38" xfId="0" applyFont="1" applyFill="1" applyBorder="1" applyProtection="1"/>
    <xf numFmtId="0" fontId="39" fillId="0" borderId="40" xfId="0" applyFont="1" applyFill="1" applyBorder="1" applyProtection="1"/>
    <xf numFmtId="10" fontId="39" fillId="0" borderId="41" xfId="58" applyNumberFormat="1" applyFont="1" applyFill="1" applyBorder="1" applyProtection="1"/>
    <xf numFmtId="0" fontId="38" fillId="0" borderId="43" xfId="0" applyFont="1" applyBorder="1" applyProtection="1"/>
    <xf numFmtId="0" fontId="39" fillId="0" borderId="0" xfId="0" applyFont="1" applyBorder="1" applyAlignment="1" applyProtection="1">
      <alignment horizontal="centerContinuous"/>
    </xf>
    <xf numFmtId="0" fontId="39" fillId="0" borderId="40" xfId="0" applyFont="1" applyBorder="1" applyAlignment="1" applyProtection="1">
      <alignment horizontal="left"/>
    </xf>
    <xf numFmtId="0" fontId="39" fillId="0" borderId="41" xfId="0" applyFont="1" applyBorder="1" applyAlignment="1" applyProtection="1">
      <alignment horizontal="center"/>
    </xf>
    <xf numFmtId="0" fontId="39" fillId="0" borderId="50" xfId="0" applyFont="1" applyBorder="1" applyProtection="1"/>
    <xf numFmtId="10" fontId="39" fillId="0" borderId="51" xfId="0" applyNumberFormat="1" applyFont="1" applyBorder="1" applyProtection="1"/>
    <xf numFmtId="0" fontId="43" fillId="0" borderId="52" xfId="85" applyFont="1" applyBorder="1" applyAlignment="1">
      <alignment horizontal="right" vertical="center"/>
    </xf>
    <xf numFmtId="0" fontId="43" fillId="0" borderId="45" xfId="85" applyFont="1" applyBorder="1"/>
    <xf numFmtId="10" fontId="39" fillId="0" borderId="0" xfId="58" applyNumberFormat="1" applyFont="1" applyFill="1" applyBorder="1" applyProtection="1"/>
    <xf numFmtId="10" fontId="39" fillId="0" borderId="39" xfId="58" applyNumberFormat="1" applyFont="1" applyFill="1" applyBorder="1" applyProtection="1"/>
    <xf numFmtId="0" fontId="44" fillId="25" borderId="43" xfId="85" applyFont="1" applyFill="1" applyBorder="1" applyAlignment="1">
      <alignment horizontal="center" vertical="center" wrapText="1"/>
    </xf>
    <xf numFmtId="0" fontId="44" fillId="25" borderId="44" xfId="85" applyFont="1" applyFill="1" applyBorder="1" applyAlignment="1">
      <alignment horizontal="center" vertical="center"/>
    </xf>
    <xf numFmtId="0" fontId="44" fillId="25" borderId="45" xfId="85" applyFont="1" applyFill="1" applyBorder="1" applyAlignment="1">
      <alignment horizontal="center" vertical="center" wrapText="1"/>
    </xf>
    <xf numFmtId="0" fontId="45" fillId="42" borderId="60" xfId="85" applyFont="1" applyFill="1" applyBorder="1" applyAlignment="1">
      <alignment horizontal="center" vertical="center" wrapText="1"/>
    </xf>
    <xf numFmtId="0" fontId="45" fillId="42" borderId="61" xfId="85" applyFont="1" applyFill="1" applyBorder="1" applyAlignment="1">
      <alignment horizontal="center" vertical="center" wrapText="1"/>
    </xf>
    <xf numFmtId="0" fontId="45" fillId="25" borderId="62" xfId="85" applyFont="1" applyFill="1" applyBorder="1" applyAlignment="1">
      <alignment horizontal="right" vertical="center"/>
    </xf>
    <xf numFmtId="3" fontId="43" fillId="0" borderId="63" xfId="85" applyNumberFormat="1" applyFont="1" applyBorder="1" applyAlignment="1">
      <alignment horizontal="right" vertical="center" wrapText="1"/>
    </xf>
    <xf numFmtId="0" fontId="43" fillId="0" borderId="39" xfId="85" applyFont="1" applyBorder="1" applyAlignment="1">
      <alignment horizontal="left" vertical="center" wrapText="1"/>
    </xf>
    <xf numFmtId="0" fontId="46" fillId="43" borderId="38" xfId="85" applyFont="1" applyFill="1" applyBorder="1" applyAlignment="1">
      <alignment horizontal="center" vertical="center"/>
    </xf>
    <xf numFmtId="166" fontId="43" fillId="43" borderId="0" xfId="85" applyNumberFormat="1" applyFont="1" applyFill="1" applyBorder="1" applyAlignment="1">
      <alignment horizontal="center" vertical="center"/>
    </xf>
    <xf numFmtId="165" fontId="43" fillId="43" borderId="0" xfId="85" applyNumberFormat="1" applyFont="1" applyFill="1" applyBorder="1" applyAlignment="1">
      <alignment horizontal="center" vertical="center"/>
    </xf>
    <xf numFmtId="167" fontId="43" fillId="43" borderId="0" xfId="85" applyNumberFormat="1" applyFont="1" applyFill="1" applyBorder="1" applyAlignment="1">
      <alignment horizontal="center" vertical="center"/>
    </xf>
    <xf numFmtId="170" fontId="43" fillId="43" borderId="0" xfId="85" applyNumberFormat="1" applyFont="1" applyFill="1" applyBorder="1" applyAlignment="1">
      <alignment horizontal="center" vertical="center"/>
    </xf>
    <xf numFmtId="165" fontId="43" fillId="43" borderId="39" xfId="85" applyNumberFormat="1" applyFont="1" applyFill="1" applyBorder="1" applyAlignment="1">
      <alignment horizontal="center" vertical="center"/>
    </xf>
    <xf numFmtId="0" fontId="45" fillId="25" borderId="64" xfId="85" applyFont="1" applyFill="1" applyBorder="1" applyAlignment="1">
      <alignment horizontal="right" vertical="center"/>
    </xf>
    <xf numFmtId="169" fontId="43" fillId="0" borderId="63" xfId="85" applyNumberFormat="1" applyFont="1" applyBorder="1" applyAlignment="1">
      <alignment horizontal="right" vertical="center" wrapText="1"/>
    </xf>
    <xf numFmtId="10" fontId="39" fillId="0" borderId="41" xfId="58" applyNumberFormat="1" applyFont="1" applyBorder="1" applyProtection="1"/>
    <xf numFmtId="10" fontId="39" fillId="0" borderId="42" xfId="58" applyNumberFormat="1" applyFont="1" applyBorder="1" applyProtection="1"/>
    <xf numFmtId="0" fontId="47" fillId="25" borderId="64" xfId="85" applyFont="1" applyFill="1" applyBorder="1" applyAlignment="1">
      <alignment horizontal="right" vertical="center"/>
    </xf>
    <xf numFmtId="166" fontId="43" fillId="0" borderId="63" xfId="85" applyNumberFormat="1" applyFont="1" applyBorder="1" applyAlignment="1">
      <alignment horizontal="right" vertical="center" wrapText="1"/>
    </xf>
    <xf numFmtId="0" fontId="45" fillId="25" borderId="65" xfId="85" applyFont="1" applyFill="1" applyBorder="1" applyAlignment="1">
      <alignment horizontal="right" vertical="center"/>
    </xf>
    <xf numFmtId="171" fontId="43" fillId="0" borderId="66" xfId="85" applyNumberFormat="1" applyFont="1" applyBorder="1" applyAlignment="1">
      <alignment horizontal="right" vertical="center" wrapText="1"/>
    </xf>
    <xf numFmtId="0" fontId="43" fillId="0" borderId="42" xfId="85" applyFont="1" applyBorder="1" applyAlignment="1">
      <alignment horizontal="left" vertical="center" wrapText="1"/>
    </xf>
    <xf numFmtId="11" fontId="39" fillId="0" borderId="37" xfId="0" applyNumberFormat="1" applyFont="1" applyBorder="1" applyProtection="1"/>
    <xf numFmtId="0" fontId="39" fillId="0" borderId="0" xfId="0" applyFont="1" applyFill="1" applyBorder="1" applyAlignment="1" applyProtection="1">
      <alignment horizontal="center"/>
    </xf>
    <xf numFmtId="165" fontId="39" fillId="0" borderId="0" xfId="0" applyNumberFormat="1" applyFont="1" applyFill="1" applyBorder="1" applyProtection="1"/>
    <xf numFmtId="168" fontId="39" fillId="0" borderId="0" xfId="58" applyNumberFormat="1" applyFont="1" applyFill="1" applyBorder="1" applyProtection="1"/>
    <xf numFmtId="165" fontId="39" fillId="0" borderId="39" xfId="0" applyNumberFormat="1" applyFont="1" applyBorder="1" applyProtection="1"/>
    <xf numFmtId="0" fontId="46" fillId="43" borderId="40" xfId="85" applyFont="1" applyFill="1" applyBorder="1" applyAlignment="1">
      <alignment horizontal="center" vertical="center"/>
    </xf>
    <xf numFmtId="166" fontId="43" fillId="43" borderId="41" xfId="85" applyNumberFormat="1" applyFont="1" applyFill="1" applyBorder="1" applyAlignment="1">
      <alignment horizontal="center" vertical="center"/>
    </xf>
    <xf numFmtId="165" fontId="43" fillId="43" borderId="41" xfId="85" applyNumberFormat="1" applyFont="1" applyFill="1" applyBorder="1" applyAlignment="1">
      <alignment horizontal="center" vertical="center"/>
    </xf>
    <xf numFmtId="167" fontId="43" fillId="43" borderId="41" xfId="85" applyNumberFormat="1" applyFont="1" applyFill="1" applyBorder="1" applyAlignment="1">
      <alignment horizontal="center" vertical="center"/>
    </xf>
    <xf numFmtId="170" fontId="43" fillId="43" borderId="41" xfId="85" applyNumberFormat="1" applyFont="1" applyFill="1" applyBorder="1" applyAlignment="1">
      <alignment horizontal="center" vertical="center"/>
    </xf>
    <xf numFmtId="165" fontId="43" fillId="43" borderId="42" xfId="85" applyNumberFormat="1" applyFont="1" applyFill="1" applyBorder="1" applyAlignment="1">
      <alignment horizontal="center" vertical="center"/>
    </xf>
    <xf numFmtId="165" fontId="39" fillId="0" borderId="41" xfId="0" applyNumberFormat="1" applyFont="1" applyFill="1" applyBorder="1" applyProtection="1"/>
    <xf numFmtId="168" fontId="39" fillId="0" borderId="41" xfId="58" applyNumberFormat="1" applyFont="1" applyFill="1" applyBorder="1" applyProtection="1"/>
    <xf numFmtId="165" fontId="39" fillId="0" borderId="41" xfId="0" applyNumberFormat="1" applyFont="1" applyBorder="1" applyProtection="1"/>
    <xf numFmtId="165" fontId="39" fillId="0" borderId="42" xfId="0" applyNumberFormat="1" applyFont="1" applyBorder="1" applyProtection="1"/>
    <xf numFmtId="0" fontId="38" fillId="41" borderId="35" xfId="0" applyFont="1" applyFill="1" applyBorder="1" applyAlignment="1" applyProtection="1">
      <alignment horizontal="left"/>
    </xf>
    <xf numFmtId="0" fontId="38" fillId="41" borderId="36" xfId="0" applyFont="1" applyFill="1" applyBorder="1" applyAlignment="1" applyProtection="1">
      <alignment horizontal="centerContinuous"/>
    </xf>
    <xf numFmtId="0" fontId="38" fillId="0" borderId="36" xfId="0" applyFont="1" applyBorder="1" applyAlignment="1" applyProtection="1">
      <alignment horizontal="centerContinuous"/>
    </xf>
    <xf numFmtId="0" fontId="38" fillId="0" borderId="37" xfId="0" applyFont="1" applyBorder="1" applyAlignment="1" applyProtection="1">
      <alignment horizontal="centerContinuous"/>
    </xf>
    <xf numFmtId="0" fontId="39" fillId="0" borderId="35" xfId="0" applyFont="1" applyBorder="1" applyAlignment="1" applyProtection="1">
      <alignment horizontal="center"/>
    </xf>
    <xf numFmtId="0" fontId="39" fillId="0" borderId="38" xfId="0" applyFont="1" applyBorder="1" applyAlignment="1" applyProtection="1">
      <alignment horizontal="center"/>
    </xf>
    <xf numFmtId="166" fontId="39" fillId="0" borderId="0" xfId="0" applyNumberFormat="1" applyFont="1" applyBorder="1" applyProtection="1"/>
    <xf numFmtId="166" fontId="39" fillId="0" borderId="39" xfId="0" applyNumberFormat="1" applyFont="1" applyBorder="1" applyProtection="1"/>
    <xf numFmtId="2" fontId="50" fillId="0" borderId="0" xfId="0" applyNumberFormat="1" applyFont="1" applyAlignment="1" applyProtection="1">
      <alignment horizontal="left" indent="1"/>
    </xf>
    <xf numFmtId="166" fontId="39" fillId="0" borderId="41" xfId="0" applyNumberFormat="1" applyFont="1" applyBorder="1" applyProtection="1"/>
    <xf numFmtId="0" fontId="39" fillId="41" borderId="36" xfId="0" applyFont="1" applyFill="1" applyBorder="1" applyAlignment="1" applyProtection="1">
      <alignment horizontal="centerContinuous"/>
    </xf>
    <xf numFmtId="0" fontId="39" fillId="0" borderId="0" xfId="0" quotePrefix="1" applyFont="1" applyBorder="1" applyAlignment="1" applyProtection="1">
      <alignment horizontal="center"/>
    </xf>
    <xf numFmtId="0" fontId="39" fillId="0" borderId="41" xfId="0" quotePrefix="1" applyFont="1" applyBorder="1" applyAlignment="1" applyProtection="1">
      <alignment horizontal="center"/>
    </xf>
    <xf numFmtId="0" fontId="38" fillId="0" borderId="0" xfId="0" applyFont="1" applyBorder="1" applyAlignment="1" applyProtection="1">
      <alignment horizontal="centerContinuous"/>
    </xf>
    <xf numFmtId="0" fontId="39" fillId="0" borderId="38" xfId="0" applyFont="1" applyBorder="1" applyAlignment="1" applyProtection="1">
      <alignment horizontal="centerContinuous"/>
    </xf>
    <xf numFmtId="166" fontId="39" fillId="0" borderId="42" xfId="0" applyNumberFormat="1" applyFont="1" applyBorder="1" applyProtection="1"/>
    <xf numFmtId="0" fontId="38" fillId="41" borderId="35" xfId="0" applyFont="1" applyFill="1" applyBorder="1" applyProtection="1"/>
    <xf numFmtId="0" fontId="39" fillId="41" borderId="36" xfId="0" applyFont="1" applyFill="1" applyBorder="1" applyProtection="1"/>
    <xf numFmtId="0" fontId="50" fillId="0" borderId="38" xfId="0" applyFont="1" applyBorder="1" applyAlignment="1" applyProtection="1">
      <alignment horizontal="center"/>
    </xf>
    <xf numFmtId="168" fontId="50" fillId="0" borderId="0" xfId="58" applyNumberFormat="1" applyFont="1" applyBorder="1" applyAlignment="1" applyProtection="1">
      <alignment horizontal="center"/>
    </xf>
    <xf numFmtId="0" fontId="50" fillId="0" borderId="0" xfId="0" applyFont="1" applyBorder="1" applyAlignment="1" applyProtection="1">
      <alignment horizontal="center"/>
    </xf>
    <xf numFmtId="0" fontId="50" fillId="24" borderId="69" xfId="0" applyFont="1" applyFill="1" applyBorder="1" applyProtection="1"/>
    <xf numFmtId="0" fontId="50" fillId="0" borderId="39" xfId="0" applyFont="1" applyBorder="1" applyProtection="1"/>
    <xf numFmtId="0" fontId="50" fillId="0" borderId="40" xfId="0" applyFont="1" applyBorder="1" applyAlignment="1" applyProtection="1">
      <alignment horizontal="center"/>
    </xf>
    <xf numFmtId="168" fontId="50" fillId="0" borderId="41" xfId="58" applyNumberFormat="1" applyFont="1" applyBorder="1" applyAlignment="1" applyProtection="1">
      <alignment horizontal="center"/>
    </xf>
    <xf numFmtId="0" fontId="50" fillId="0" borderId="41" xfId="0" applyFont="1" applyBorder="1" applyAlignment="1" applyProtection="1">
      <alignment horizontal="center"/>
    </xf>
    <xf numFmtId="0" fontId="50" fillId="0" borderId="0" xfId="0" applyFont="1" applyProtection="1"/>
    <xf numFmtId="0" fontId="39" fillId="0" borderId="35" xfId="0" applyFont="1" applyBorder="1" applyProtection="1"/>
    <xf numFmtId="0" fontId="50" fillId="0" borderId="36" xfId="0" applyFont="1" applyBorder="1" applyAlignment="1" applyProtection="1">
      <alignment horizontal="center"/>
    </xf>
    <xf numFmtId="0" fontId="50" fillId="0" borderId="37" xfId="0" applyFont="1" applyBorder="1" applyAlignment="1" applyProtection="1">
      <alignment horizontal="center"/>
    </xf>
    <xf numFmtId="0" fontId="51" fillId="41" borderId="35" xfId="0" applyFont="1" applyFill="1" applyBorder="1" applyProtection="1"/>
    <xf numFmtId="0" fontId="50" fillId="0" borderId="39" xfId="0" applyFont="1" applyBorder="1" applyAlignment="1" applyProtection="1">
      <alignment horizontal="center"/>
    </xf>
    <xf numFmtId="0" fontId="50" fillId="0" borderId="38" xfId="0" applyFont="1" applyBorder="1" applyProtection="1"/>
    <xf numFmtId="0" fontId="50" fillId="0" borderId="0" xfId="0" applyFont="1" applyBorder="1" applyProtection="1"/>
    <xf numFmtId="10" fontId="50" fillId="0" borderId="0" xfId="58" applyNumberFormat="1" applyFont="1" applyBorder="1" applyProtection="1"/>
    <xf numFmtId="168" fontId="50" fillId="0" borderId="0" xfId="58" applyNumberFormat="1" applyFont="1" applyBorder="1" applyProtection="1"/>
    <xf numFmtId="168" fontId="50" fillId="0" borderId="39" xfId="0" applyNumberFormat="1" applyFont="1" applyBorder="1" applyProtection="1"/>
    <xf numFmtId="0" fontId="39" fillId="0" borderId="38" xfId="0" applyFont="1" applyBorder="1"/>
    <xf numFmtId="0" fontId="39" fillId="0" borderId="39" xfId="0" applyFont="1" applyBorder="1"/>
    <xf numFmtId="0" fontId="39" fillId="0" borderId="0" xfId="0" applyFont="1" applyFill="1"/>
    <xf numFmtId="10" fontId="51" fillId="0" borderId="0" xfId="58" applyNumberFormat="1" applyFont="1" applyBorder="1" applyProtection="1"/>
    <xf numFmtId="168" fontId="51" fillId="0" borderId="0" xfId="58" applyNumberFormat="1" applyFont="1" applyBorder="1" applyProtection="1"/>
    <xf numFmtId="168" fontId="51" fillId="0" borderId="39" xfId="58" applyNumberFormat="1" applyFont="1" applyBorder="1" applyProtection="1"/>
    <xf numFmtId="0" fontId="39" fillId="0" borderId="0" xfId="0" applyFont="1" applyFill="1" applyBorder="1"/>
    <xf numFmtId="10" fontId="52" fillId="0" borderId="0" xfId="58" applyNumberFormat="1" applyFont="1" applyBorder="1" applyProtection="1"/>
    <xf numFmtId="168" fontId="52" fillId="0" borderId="0" xfId="58" applyNumberFormat="1" applyFont="1" applyBorder="1" applyProtection="1"/>
    <xf numFmtId="0" fontId="40" fillId="0" borderId="0" xfId="58" applyNumberFormat="1" applyFont="1" applyFill="1" applyBorder="1" applyProtection="1">
      <protection locked="0"/>
    </xf>
    <xf numFmtId="10" fontId="40" fillId="0" borderId="0" xfId="58" applyNumberFormat="1" applyFont="1" applyFill="1" applyBorder="1" applyProtection="1">
      <protection locked="0"/>
    </xf>
    <xf numFmtId="10" fontId="50" fillId="0" borderId="38" xfId="0" applyNumberFormat="1" applyFont="1" applyBorder="1" applyProtection="1"/>
    <xf numFmtId="0" fontId="50" fillId="0" borderId="40" xfId="0" applyFont="1" applyBorder="1" applyProtection="1"/>
    <xf numFmtId="0" fontId="50" fillId="0" borderId="41" xfId="0" applyFont="1" applyBorder="1" applyProtection="1"/>
    <xf numFmtId="10" fontId="50" fillId="0" borderId="41" xfId="58" applyNumberFormat="1" applyFont="1" applyBorder="1" applyProtection="1"/>
    <xf numFmtId="168" fontId="50" fillId="0" borderId="41" xfId="58" applyNumberFormat="1" applyFont="1" applyBorder="1" applyProtection="1"/>
    <xf numFmtId="168" fontId="50" fillId="0" borderId="42" xfId="0" applyNumberFormat="1" applyFont="1" applyBorder="1" applyProtection="1"/>
    <xf numFmtId="9" fontId="39" fillId="0" borderId="39" xfId="58" applyFont="1" applyBorder="1" applyProtection="1"/>
    <xf numFmtId="9" fontId="39" fillId="0" borderId="39" xfId="58" applyFont="1" applyFill="1" applyBorder="1" applyProtection="1"/>
    <xf numFmtId="9" fontId="39" fillId="0" borderId="42" xfId="58" applyFont="1" applyFill="1" applyBorder="1" applyProtection="1"/>
    <xf numFmtId="0" fontId="39" fillId="0" borderId="40" xfId="0" applyFont="1" applyBorder="1"/>
    <xf numFmtId="0" fontId="39" fillId="0" borderId="42" xfId="0" applyFont="1" applyBorder="1"/>
    <xf numFmtId="10" fontId="24" fillId="31" borderId="0" xfId="0" applyNumberFormat="1" applyFont="1" applyFill="1" applyBorder="1" applyProtection="1"/>
    <xf numFmtId="10" fontId="25" fillId="37" borderId="10" xfId="0" applyNumberFormat="1" applyFont="1" applyFill="1" applyBorder="1" applyProtection="1">
      <protection locked="0"/>
    </xf>
    <xf numFmtId="0" fontId="18" fillId="44" borderId="0" xfId="0" applyFont="1" applyFill="1" applyProtection="1"/>
    <xf numFmtId="0" fontId="24" fillId="44" borderId="0" xfId="0" applyFont="1" applyFill="1" applyProtection="1"/>
    <xf numFmtId="0" fontId="24" fillId="44" borderId="0" xfId="0" applyFont="1" applyFill="1" applyAlignment="1" applyProtection="1">
      <alignment horizontal="center"/>
    </xf>
    <xf numFmtId="0" fontId="0" fillId="44" borderId="0" xfId="0" applyFill="1" applyProtection="1"/>
    <xf numFmtId="165" fontId="24" fillId="44" borderId="0" xfId="0" applyNumberFormat="1" applyFont="1" applyFill="1" applyProtection="1"/>
    <xf numFmtId="0" fontId="31" fillId="44" borderId="0" xfId="0" applyFont="1" applyFill="1" applyProtection="1"/>
    <xf numFmtId="0" fontId="0" fillId="44" borderId="0" xfId="0" applyFont="1" applyFill="1" applyProtection="1"/>
    <xf numFmtId="2" fontId="31" fillId="44" borderId="0" xfId="0" applyNumberFormat="1" applyFont="1" applyFill="1" applyBorder="1" applyProtection="1">
      <protection locked="0"/>
    </xf>
    <xf numFmtId="0" fontId="0" fillId="44" borderId="0" xfId="0" applyFont="1" applyFill="1"/>
    <xf numFmtId="0" fontId="31" fillId="44" borderId="0" xfId="0" applyFont="1" applyFill="1"/>
    <xf numFmtId="0" fontId="0" fillId="29" borderId="14" xfId="0" applyFont="1" applyFill="1" applyBorder="1" applyProtection="1"/>
    <xf numFmtId="0" fontId="18" fillId="29" borderId="0" xfId="0" applyFont="1" applyFill="1" applyProtection="1"/>
    <xf numFmtId="0" fontId="0" fillId="29" borderId="0" xfId="0" applyFont="1" applyFill="1" applyBorder="1" applyProtection="1"/>
    <xf numFmtId="0" fontId="58" fillId="41" borderId="70" xfId="0" applyFont="1" applyFill="1" applyBorder="1" applyAlignment="1">
      <alignment horizontal="center"/>
    </xf>
    <xf numFmtId="0" fontId="58" fillId="41" borderId="71" xfId="0" applyFont="1" applyFill="1" applyBorder="1" applyAlignment="1">
      <alignment horizontal="center"/>
    </xf>
    <xf numFmtId="0" fontId="60" fillId="27" borderId="0" xfId="131" applyFont="1" applyFill="1" applyAlignment="1">
      <alignment vertical="center" wrapText="1"/>
    </xf>
    <xf numFmtId="0" fontId="60" fillId="0" borderId="0" xfId="131" applyFont="1" applyFill="1" applyAlignment="1">
      <alignment vertical="center" wrapText="1"/>
    </xf>
    <xf numFmtId="0" fontId="61" fillId="0" borderId="0" xfId="131" applyFont="1" applyAlignment="1">
      <alignment horizontal="left" vertical="center"/>
    </xf>
    <xf numFmtId="0" fontId="62" fillId="49" borderId="0" xfId="131" applyFont="1" applyFill="1" applyAlignment="1">
      <alignment horizontal="left" vertical="center"/>
    </xf>
    <xf numFmtId="0" fontId="61" fillId="27" borderId="0" xfId="131" applyFont="1" applyFill="1" applyAlignment="1">
      <alignment horizontal="left" vertical="center"/>
    </xf>
    <xf numFmtId="0" fontId="61" fillId="50" borderId="75" xfId="131" applyFont="1" applyFill="1" applyBorder="1" applyAlignment="1">
      <alignment horizontal="left" vertical="center"/>
    </xf>
    <xf numFmtId="0" fontId="61" fillId="27" borderId="75" xfId="131" applyFont="1" applyFill="1" applyBorder="1" applyAlignment="1">
      <alignment horizontal="left" vertical="center"/>
    </xf>
    <xf numFmtId="0" fontId="64" fillId="0" borderId="0" xfId="132" applyFont="1"/>
    <xf numFmtId="0" fontId="63" fillId="0" borderId="0" xfId="132"/>
    <xf numFmtId="0" fontId="63" fillId="0" borderId="0" xfId="133"/>
    <xf numFmtId="0" fontId="63" fillId="51" borderId="0" xfId="132" applyFill="1"/>
    <xf numFmtId="0" fontId="56" fillId="0" borderId="0" xfId="86"/>
    <xf numFmtId="0" fontId="1" fillId="27" borderId="0" xfId="137" applyFill="1"/>
    <xf numFmtId="0" fontId="65" fillId="27" borderId="0" xfId="137" applyFont="1" applyFill="1"/>
    <xf numFmtId="0" fontId="1" fillId="27" borderId="0" xfId="137" applyFont="1" applyFill="1"/>
    <xf numFmtId="0" fontId="1" fillId="27" borderId="0" xfId="137" applyFont="1" applyFill="1" applyAlignment="1"/>
    <xf numFmtId="0" fontId="59" fillId="27" borderId="0" xfId="137" applyFont="1" applyFill="1"/>
    <xf numFmtId="0" fontId="66" fillId="27" borderId="0" xfId="137" applyFont="1" applyFill="1"/>
    <xf numFmtId="0" fontId="67" fillId="33" borderId="76" xfId="137" applyFont="1" applyFill="1" applyBorder="1" applyAlignment="1">
      <alignment horizontal="center" vertical="center" wrapText="1"/>
    </xf>
    <xf numFmtId="0" fontId="1" fillId="52" borderId="36" xfId="137" applyFont="1" applyFill="1" applyBorder="1" applyAlignment="1">
      <alignment horizontal="center"/>
    </xf>
    <xf numFmtId="0" fontId="1" fillId="52" borderId="36" xfId="137" applyFill="1" applyBorder="1" applyAlignment="1">
      <alignment horizontal="center"/>
    </xf>
    <xf numFmtId="0" fontId="1" fillId="52" borderId="37" xfId="137" applyFill="1" applyBorder="1" applyAlignment="1">
      <alignment horizontal="center"/>
    </xf>
    <xf numFmtId="0" fontId="1" fillId="53" borderId="76" xfId="137" applyFill="1" applyBorder="1"/>
    <xf numFmtId="0" fontId="1" fillId="53" borderId="44" xfId="137" applyFill="1" applyBorder="1"/>
    <xf numFmtId="0" fontId="1" fillId="53" borderId="45" xfId="137" applyFill="1" applyBorder="1"/>
    <xf numFmtId="0" fontId="1" fillId="33" borderId="76" xfId="137" applyFont="1" applyFill="1" applyBorder="1" applyAlignment="1">
      <alignment wrapText="1"/>
    </xf>
    <xf numFmtId="0" fontId="1" fillId="33" borderId="36" xfId="137" applyFill="1" applyBorder="1" applyAlignment="1">
      <alignment horizontal="center" textRotation="90"/>
    </xf>
    <xf numFmtId="0" fontId="59" fillId="33" borderId="76" xfId="137" applyFont="1" applyFill="1" applyBorder="1" applyAlignment="1">
      <alignment horizontal="center" textRotation="90"/>
    </xf>
    <xf numFmtId="0" fontId="1" fillId="33" borderId="77" xfId="137" applyFill="1" applyBorder="1" applyAlignment="1">
      <alignment horizontal="center" vertical="center" wrapText="1"/>
    </xf>
    <xf numFmtId="0" fontId="1" fillId="33" borderId="78" xfId="137" applyFill="1" applyBorder="1"/>
    <xf numFmtId="0" fontId="59" fillId="33" borderId="38" xfId="137" applyFont="1" applyFill="1" applyBorder="1"/>
    <xf numFmtId="0" fontId="1" fillId="54" borderId="46" xfId="137" applyFill="1" applyBorder="1" applyAlignment="1">
      <alignment horizontal="center" vertical="center"/>
    </xf>
    <xf numFmtId="0" fontId="1" fillId="36" borderId="79" xfId="137" applyFill="1" applyBorder="1" applyAlignment="1">
      <alignment horizontal="center" vertical="center"/>
    </xf>
    <xf numFmtId="0" fontId="1" fillId="36" borderId="80" xfId="137" applyFill="1" applyBorder="1" applyAlignment="1">
      <alignment horizontal="center" vertical="center"/>
    </xf>
    <xf numFmtId="0" fontId="1" fillId="33" borderId="37" xfId="137" applyFill="1" applyBorder="1" applyAlignment="1">
      <alignment horizontal="center" vertical="center"/>
    </xf>
    <xf numFmtId="2" fontId="1" fillId="33" borderId="77" xfId="137" applyNumberFormat="1" applyFill="1" applyBorder="1" applyAlignment="1">
      <alignment horizontal="center" vertical="center"/>
    </xf>
    <xf numFmtId="2" fontId="1" fillId="27" borderId="0" xfId="137" applyNumberFormat="1" applyFill="1"/>
    <xf numFmtId="0" fontId="1" fillId="36" borderId="81" xfId="137" applyFill="1" applyBorder="1" applyAlignment="1">
      <alignment horizontal="center" vertical="center"/>
    </xf>
    <xf numFmtId="0" fontId="1" fillId="54" borderId="10" xfId="137" applyFill="1" applyBorder="1" applyAlignment="1">
      <alignment horizontal="center" vertical="center"/>
    </xf>
    <xf numFmtId="0" fontId="1" fillId="36" borderId="10" xfId="137" applyFill="1" applyBorder="1" applyAlignment="1">
      <alignment horizontal="center" vertical="center"/>
    </xf>
    <xf numFmtId="0" fontId="1" fillId="36" borderId="69" xfId="137" applyFill="1" applyBorder="1" applyAlignment="1">
      <alignment horizontal="center" vertical="center"/>
    </xf>
    <xf numFmtId="0" fontId="1" fillId="33" borderId="39" xfId="137" applyFill="1" applyBorder="1" applyAlignment="1">
      <alignment horizontal="center" vertical="center"/>
    </xf>
    <xf numFmtId="2" fontId="1" fillId="33" borderId="78" xfId="137" applyNumberFormat="1" applyFill="1" applyBorder="1" applyAlignment="1">
      <alignment horizontal="center" vertical="center"/>
    </xf>
    <xf numFmtId="0" fontId="1" fillId="33" borderId="82" xfId="137" applyFill="1" applyBorder="1"/>
    <xf numFmtId="0" fontId="59" fillId="33" borderId="40" xfId="137" applyFont="1" applyFill="1" applyBorder="1"/>
    <xf numFmtId="0" fontId="1" fillId="36" borderId="83" xfId="137" applyFill="1" applyBorder="1" applyAlignment="1">
      <alignment horizontal="center" vertical="center"/>
    </xf>
    <xf numFmtId="0" fontId="1" fillId="36" borderId="60" xfId="137" applyFill="1" applyBorder="1" applyAlignment="1">
      <alignment horizontal="center" vertical="center"/>
    </xf>
    <xf numFmtId="0" fontId="1" fillId="54" borderId="61" xfId="137" applyFill="1" applyBorder="1" applyAlignment="1">
      <alignment horizontal="center" vertical="center"/>
    </xf>
    <xf numFmtId="0" fontId="1" fillId="33" borderId="42" xfId="137" applyFill="1" applyBorder="1" applyAlignment="1">
      <alignment horizontal="center" vertical="center"/>
    </xf>
    <xf numFmtId="2" fontId="1" fillId="33" borderId="82" xfId="137" applyNumberFormat="1" applyFill="1" applyBorder="1" applyAlignment="1">
      <alignment horizontal="center" vertical="center"/>
    </xf>
    <xf numFmtId="0" fontId="59" fillId="33" borderId="35" xfId="137" applyFont="1" applyFill="1" applyBorder="1" applyAlignment="1">
      <alignment horizontal="center" textRotation="90"/>
    </xf>
    <xf numFmtId="0" fontId="59" fillId="33" borderId="36" xfId="137" applyFont="1" applyFill="1" applyBorder="1" applyAlignment="1">
      <alignment horizontal="center" textRotation="90"/>
    </xf>
    <xf numFmtId="0" fontId="1" fillId="52" borderId="84" xfId="137" applyFill="1" applyBorder="1" applyAlignment="1">
      <alignment horizontal="center" textRotation="90"/>
    </xf>
    <xf numFmtId="0" fontId="1" fillId="52" borderId="70" xfId="137" applyFill="1" applyBorder="1" applyAlignment="1">
      <alignment horizontal="center" textRotation="90"/>
    </xf>
    <xf numFmtId="0" fontId="1" fillId="52" borderId="71" xfId="137" applyFill="1" applyBorder="1" applyAlignment="1">
      <alignment horizontal="center" textRotation="90"/>
    </xf>
    <xf numFmtId="0" fontId="1" fillId="52" borderId="85" xfId="137" applyFill="1" applyBorder="1" applyAlignment="1">
      <alignment horizontal="center" vertical="center"/>
    </xf>
    <xf numFmtId="0" fontId="1" fillId="52" borderId="86" xfId="137" applyFill="1" applyBorder="1" applyAlignment="1">
      <alignment horizontal="center" vertical="center"/>
    </xf>
    <xf numFmtId="0" fontId="1" fillId="52" borderId="87" xfId="137" applyFill="1" applyBorder="1" applyAlignment="1">
      <alignment horizontal="center" vertical="center"/>
    </xf>
    <xf numFmtId="0" fontId="1" fillId="52" borderId="81" xfId="137" applyFill="1" applyBorder="1" applyAlignment="1">
      <alignment horizontal="center" vertical="center"/>
    </xf>
    <xf numFmtId="0" fontId="1" fillId="52" borderId="10" xfId="137" applyFill="1" applyBorder="1" applyAlignment="1">
      <alignment horizontal="center" vertical="center"/>
    </xf>
    <xf numFmtId="0" fontId="1" fillId="52" borderId="67" xfId="137" applyFill="1" applyBorder="1" applyAlignment="1">
      <alignment horizontal="center" vertical="center"/>
    </xf>
    <xf numFmtId="0" fontId="1" fillId="0" borderId="0" xfId="137"/>
    <xf numFmtId="0" fontId="1" fillId="52" borderId="0" xfId="137" applyFill="1" applyBorder="1" applyAlignment="1">
      <alignment horizontal="center" vertical="center"/>
    </xf>
    <xf numFmtId="0" fontId="1" fillId="52" borderId="83" xfId="137" applyFill="1" applyBorder="1" applyAlignment="1">
      <alignment horizontal="center" vertical="center"/>
    </xf>
    <xf numFmtId="0" fontId="1" fillId="52" borderId="60" xfId="137" applyFill="1" applyBorder="1" applyAlignment="1">
      <alignment horizontal="center" vertical="center"/>
    </xf>
    <xf numFmtId="0" fontId="1" fillId="52" borderId="88" xfId="137" applyFill="1" applyBorder="1" applyAlignment="1">
      <alignment horizontal="center" vertical="center"/>
    </xf>
    <xf numFmtId="0" fontId="59" fillId="33" borderId="76" xfId="137" applyFont="1" applyFill="1" applyBorder="1"/>
    <xf numFmtId="1" fontId="1" fillId="33" borderId="43" xfId="137" applyNumberFormat="1" applyFill="1" applyBorder="1" applyAlignment="1">
      <alignment horizontal="center" vertical="center"/>
    </xf>
    <xf numFmtId="1" fontId="1" fillId="33" borderId="44" xfId="137" applyNumberFormat="1" applyFill="1" applyBorder="1" applyAlignment="1">
      <alignment horizontal="center" vertical="center"/>
    </xf>
    <xf numFmtId="1" fontId="1" fillId="33" borderId="45" xfId="137" applyNumberFormat="1" applyFill="1" applyBorder="1" applyAlignment="1">
      <alignment horizontal="center" vertical="center"/>
    </xf>
    <xf numFmtId="0" fontId="1" fillId="33" borderId="39" xfId="137" applyFill="1" applyBorder="1"/>
    <xf numFmtId="0" fontId="59" fillId="33" borderId="82" xfId="137" applyFont="1" applyFill="1" applyBorder="1"/>
    <xf numFmtId="0" fontId="59" fillId="33" borderId="43" xfId="137" applyFont="1" applyFill="1" applyBorder="1" applyAlignment="1">
      <alignment horizontal="center" vertical="center"/>
    </xf>
    <xf numFmtId="0" fontId="59" fillId="33" borderId="44" xfId="137" applyFont="1" applyFill="1" applyBorder="1" applyAlignment="1">
      <alignment horizontal="center" vertical="center"/>
    </xf>
    <xf numFmtId="0" fontId="59" fillId="33" borderId="45" xfId="137" applyFont="1" applyFill="1" applyBorder="1" applyAlignment="1">
      <alignment horizontal="center" vertical="center"/>
    </xf>
    <xf numFmtId="0" fontId="1" fillId="33" borderId="42" xfId="137" applyFill="1" applyBorder="1"/>
    <xf numFmtId="0" fontId="59" fillId="27" borderId="35" xfId="137" applyFont="1" applyFill="1" applyBorder="1"/>
    <xf numFmtId="0" fontId="1" fillId="27" borderId="36" xfId="137" applyFill="1" applyBorder="1"/>
    <xf numFmtId="0" fontId="1" fillId="27" borderId="37" xfId="137" applyFill="1" applyBorder="1"/>
    <xf numFmtId="0" fontId="1" fillId="27" borderId="38" xfId="137" applyFont="1" applyFill="1" applyBorder="1"/>
    <xf numFmtId="0" fontId="1" fillId="27" borderId="0" xfId="137" applyFill="1" applyBorder="1"/>
    <xf numFmtId="0" fontId="1" fillId="27" borderId="39" xfId="137" applyFill="1" applyBorder="1"/>
    <xf numFmtId="0" fontId="1" fillId="27" borderId="40" xfId="137" applyFont="1" applyFill="1" applyBorder="1"/>
    <xf numFmtId="0" fontId="1" fillId="27" borderId="41" xfId="137" applyFill="1" applyBorder="1"/>
    <xf numFmtId="0" fontId="1" fillId="27" borderId="42" xfId="137" applyFill="1" applyBorder="1"/>
    <xf numFmtId="0" fontId="68" fillId="0" borderId="0" xfId="0" applyFont="1" applyBorder="1" applyAlignment="1" applyProtection="1"/>
    <xf numFmtId="0" fontId="18" fillId="0" borderId="0" xfId="134"/>
    <xf numFmtId="0" fontId="54" fillId="30" borderId="19" xfId="0" applyFont="1" applyFill="1" applyBorder="1" applyAlignment="1" applyProtection="1">
      <alignment horizontal="center" vertical="center"/>
    </xf>
    <xf numFmtId="0" fontId="54" fillId="30" borderId="20" xfId="0" applyFont="1" applyFill="1" applyBorder="1" applyAlignment="1" applyProtection="1">
      <alignment horizontal="center" vertical="center"/>
    </xf>
    <xf numFmtId="0" fontId="24" fillId="36" borderId="30" xfId="0" applyFont="1" applyFill="1" applyBorder="1" applyAlignment="1" applyProtection="1">
      <alignment horizontal="center"/>
    </xf>
    <xf numFmtId="0" fontId="24" fillId="36" borderId="0" xfId="0" applyFont="1" applyFill="1" applyBorder="1" applyAlignment="1" applyProtection="1">
      <alignment horizontal="center"/>
    </xf>
    <xf numFmtId="0" fontId="24" fillId="36" borderId="31" xfId="0" applyFont="1" applyFill="1" applyBorder="1" applyAlignment="1" applyProtection="1">
      <alignment horizontal="center"/>
    </xf>
    <xf numFmtId="0" fontId="27" fillId="0" borderId="0" xfId="0" applyFont="1" applyAlignment="1" applyProtection="1">
      <alignment horizontal="center"/>
    </xf>
    <xf numFmtId="0" fontId="0" fillId="0" borderId="0" xfId="0" applyAlignment="1"/>
    <xf numFmtId="0" fontId="36" fillId="28" borderId="11" xfId="0" applyFont="1" applyFill="1" applyBorder="1" applyAlignment="1" applyProtection="1">
      <alignment horizontal="center" vertical="center"/>
    </xf>
    <xf numFmtId="0" fontId="4" fillId="28" borderId="12" xfId="0" applyFont="1" applyFill="1" applyBorder="1" applyAlignment="1">
      <alignment vertical="center"/>
    </xf>
    <xf numFmtId="0" fontId="4" fillId="28" borderId="13" xfId="0" applyFont="1" applyFill="1" applyBorder="1" applyAlignment="1">
      <alignment vertical="center"/>
    </xf>
    <xf numFmtId="0" fontId="36" fillId="30" borderId="19" xfId="0" applyFont="1" applyFill="1" applyBorder="1" applyAlignment="1" applyProtection="1">
      <alignment horizontal="center" vertical="center"/>
    </xf>
    <xf numFmtId="0" fontId="36" fillId="30" borderId="20" xfId="0" applyFont="1" applyFill="1" applyBorder="1" applyAlignment="1" applyProtection="1">
      <alignment horizontal="center" vertical="center"/>
    </xf>
    <xf numFmtId="0" fontId="36" fillId="30" borderId="21" xfId="0" applyFont="1" applyFill="1" applyBorder="1" applyAlignment="1" applyProtection="1">
      <alignment horizontal="center" vertical="center"/>
    </xf>
    <xf numFmtId="0" fontId="36" fillId="32" borderId="27" xfId="0" applyFont="1" applyFill="1" applyBorder="1" applyAlignment="1" applyProtection="1">
      <alignment horizontal="center" vertical="center"/>
    </xf>
    <xf numFmtId="0" fontId="36" fillId="32" borderId="28" xfId="0" applyFont="1" applyFill="1" applyBorder="1" applyAlignment="1">
      <alignment horizontal="center" vertical="center"/>
    </xf>
    <xf numFmtId="0" fontId="36" fillId="32" borderId="29" xfId="0" applyFont="1" applyFill="1" applyBorder="1" applyAlignment="1">
      <alignment horizontal="center" vertical="center"/>
    </xf>
    <xf numFmtId="0" fontId="24" fillId="40" borderId="14" xfId="0" applyFont="1" applyFill="1" applyBorder="1" applyAlignment="1" applyProtection="1">
      <alignment horizontal="center"/>
    </xf>
    <xf numFmtId="0" fontId="24" fillId="40" borderId="0" xfId="0" applyFont="1" applyFill="1" applyBorder="1" applyAlignment="1" applyProtection="1">
      <alignment horizontal="center"/>
    </xf>
    <xf numFmtId="0" fontId="24" fillId="40" borderId="15" xfId="0" applyFont="1" applyFill="1" applyBorder="1" applyAlignment="1" applyProtection="1">
      <alignment horizontal="center"/>
    </xf>
    <xf numFmtId="0" fontId="24" fillId="34" borderId="14" xfId="0" applyFont="1" applyFill="1" applyBorder="1" applyAlignment="1" applyProtection="1">
      <alignment horizontal="center"/>
    </xf>
    <xf numFmtId="0" fontId="24" fillId="34" borderId="0" xfId="0" applyFont="1" applyFill="1" applyBorder="1" applyAlignment="1" applyProtection="1">
      <alignment horizontal="center"/>
    </xf>
    <xf numFmtId="0" fontId="24" fillId="34" borderId="15" xfId="0" applyFont="1" applyFill="1" applyBorder="1" applyAlignment="1" applyProtection="1">
      <alignment horizontal="center"/>
    </xf>
    <xf numFmtId="0" fontId="24" fillId="38" borderId="14" xfId="0" applyFont="1" applyFill="1" applyBorder="1" applyAlignment="1" applyProtection="1">
      <alignment horizontal="center"/>
    </xf>
    <xf numFmtId="0" fontId="24" fillId="38" borderId="0" xfId="0" applyFont="1" applyFill="1" applyBorder="1" applyAlignment="1" applyProtection="1">
      <alignment horizontal="center"/>
    </xf>
    <xf numFmtId="0" fontId="24" fillId="38" borderId="15" xfId="0" applyFont="1" applyFill="1" applyBorder="1" applyAlignment="1" applyProtection="1">
      <alignment horizontal="center"/>
    </xf>
    <xf numFmtId="0" fontId="24" fillId="35" borderId="22" xfId="0" applyFont="1" applyFill="1" applyBorder="1" applyAlignment="1" applyProtection="1">
      <alignment horizontal="center"/>
    </xf>
    <xf numFmtId="0" fontId="24" fillId="35" borderId="0" xfId="0" applyFont="1" applyFill="1" applyBorder="1" applyAlignment="1" applyProtection="1">
      <alignment horizontal="center"/>
    </xf>
    <xf numFmtId="0" fontId="24" fillId="35" borderId="23" xfId="0" applyFont="1" applyFill="1" applyBorder="1" applyAlignment="1" applyProtection="1">
      <alignment horizontal="center"/>
    </xf>
    <xf numFmtId="0" fontId="37" fillId="28" borderId="12" xfId="0" applyFont="1" applyFill="1" applyBorder="1" applyAlignment="1">
      <alignment vertical="center"/>
    </xf>
    <xf numFmtId="0" fontId="37" fillId="28" borderId="13" xfId="0" applyFont="1" applyFill="1" applyBorder="1" applyAlignment="1">
      <alignment vertical="center"/>
    </xf>
    <xf numFmtId="0" fontId="3" fillId="33" borderId="72" xfId="131" applyFont="1" applyFill="1" applyBorder="1" applyAlignment="1">
      <alignment horizontal="left" vertical="center" wrapText="1"/>
    </xf>
    <xf numFmtId="0" fontId="3" fillId="33" borderId="73" xfId="131" applyFont="1" applyFill="1" applyBorder="1" applyAlignment="1">
      <alignment horizontal="left" vertical="center" wrapText="1"/>
    </xf>
    <xf numFmtId="0" fontId="3" fillId="33" borderId="74" xfId="131" applyFont="1" applyFill="1" applyBorder="1" applyAlignment="1">
      <alignment horizontal="left" vertical="center" wrapText="1"/>
    </xf>
    <xf numFmtId="0" fontId="67" fillId="33" borderId="77" xfId="137" applyFont="1" applyFill="1" applyBorder="1" applyAlignment="1">
      <alignment horizontal="center" vertical="center" wrapText="1"/>
    </xf>
    <xf numFmtId="0" fontId="67" fillId="33" borderId="82" xfId="137" applyFont="1" applyFill="1" applyBorder="1" applyAlignment="1">
      <alignment horizontal="center" vertical="center" wrapText="1"/>
    </xf>
    <xf numFmtId="0" fontId="1" fillId="33" borderId="77" xfId="137" applyFill="1" applyBorder="1" applyAlignment="1">
      <alignment horizontal="right" vertical="center" wrapText="1"/>
    </xf>
    <xf numFmtId="0" fontId="1" fillId="33" borderId="40" xfId="137" applyFill="1" applyBorder="1" applyAlignment="1">
      <alignment horizontal="right" vertical="center"/>
    </xf>
    <xf numFmtId="0" fontId="1" fillId="33" borderId="77" xfId="137" applyFill="1" applyBorder="1" applyAlignment="1">
      <alignment horizontal="center" vertical="center" wrapText="1"/>
    </xf>
    <xf numFmtId="0" fontId="1" fillId="33" borderId="39" xfId="137" applyFill="1" applyBorder="1" applyAlignment="1">
      <alignment horizontal="center" vertical="center" wrapText="1"/>
    </xf>
    <xf numFmtId="0" fontId="1" fillId="33" borderId="77" xfId="137" applyFont="1" applyFill="1" applyBorder="1" applyAlignment="1">
      <alignment horizontal="center" vertical="center" textRotation="90"/>
    </xf>
    <xf numFmtId="0" fontId="1" fillId="33" borderId="78" xfId="137" applyFill="1" applyBorder="1" applyAlignment="1">
      <alignment horizontal="center" vertical="center" textRotation="90"/>
    </xf>
    <xf numFmtId="0" fontId="1" fillId="33" borderId="82" xfId="137" applyFill="1" applyBorder="1" applyAlignment="1">
      <alignment horizontal="center" vertical="center" textRotation="90"/>
    </xf>
    <xf numFmtId="0" fontId="44" fillId="42" borderId="54" xfId="85" applyFont="1" applyFill="1" applyBorder="1" applyAlignment="1">
      <alignment horizontal="center" vertical="center" wrapText="1"/>
    </xf>
    <xf numFmtId="0" fontId="44" fillId="42" borderId="59" xfId="85" applyFont="1" applyFill="1" applyBorder="1" applyAlignment="1">
      <alignment horizontal="center" vertical="center" wrapText="1"/>
    </xf>
    <xf numFmtId="0" fontId="45" fillId="42" borderId="55" xfId="85" applyFont="1" applyFill="1" applyBorder="1" applyAlignment="1">
      <alignment horizontal="center" vertical="center" wrapText="1"/>
    </xf>
    <xf numFmtId="0" fontId="45" fillId="42" borderId="56" xfId="85" applyFont="1" applyFill="1" applyBorder="1" applyAlignment="1">
      <alignment horizontal="center" vertical="center" wrapText="1"/>
    </xf>
    <xf numFmtId="0" fontId="45" fillId="42" borderId="57" xfId="85" applyFont="1" applyFill="1" applyBorder="1" applyAlignment="1">
      <alignment horizontal="center" vertical="center" wrapText="1"/>
    </xf>
    <xf numFmtId="0" fontId="38" fillId="41" borderId="67" xfId="0" applyFont="1" applyFill="1" applyBorder="1" applyAlignment="1" applyProtection="1">
      <alignment horizontal="center"/>
    </xf>
    <xf numFmtId="0" fontId="38" fillId="41" borderId="68" xfId="0" applyFont="1" applyFill="1" applyBorder="1" applyAlignment="1" applyProtection="1">
      <alignment horizontal="center"/>
    </xf>
    <xf numFmtId="0" fontId="38" fillId="41" borderId="10" xfId="0" applyFont="1" applyFill="1" applyBorder="1" applyAlignment="1" applyProtection="1">
      <alignment horizontal="center"/>
    </xf>
    <xf numFmtId="0" fontId="44" fillId="42" borderId="53" xfId="85" applyFont="1" applyFill="1" applyBorder="1" applyAlignment="1">
      <alignment horizontal="center" vertical="center" wrapText="1"/>
    </xf>
    <xf numFmtId="0" fontId="44" fillId="42" borderId="58" xfId="85" applyFont="1" applyFill="1" applyBorder="1" applyAlignment="1">
      <alignment horizontal="center" vertical="center" wrapText="1"/>
    </xf>
  </cellXfs>
  <cellStyles count="138">
    <cellStyle name="????" xfId="91"/>
    <cellStyle name="???? " xfId="92"/>
    <cellStyle name="?????" xfId="93"/>
    <cellStyle name="????? ??????????????" xfId="94"/>
    <cellStyle name="??????" xfId="95"/>
    <cellStyle name="???????" xfId="96"/>
    <cellStyle name="????????" xfId="97"/>
    <cellStyle name="?????????" xfId="98"/>
    <cellStyle name="????????? ??????" xfId="99"/>
    <cellStyle name="????????? 1" xfId="100"/>
    <cellStyle name="????????? 2" xfId="101"/>
    <cellStyle name="????????? 3" xfId="102"/>
    <cellStyle name="????????? 4" xfId="103"/>
    <cellStyle name="??????????" xfId="104"/>
    <cellStyle name="???????????" xfId="105"/>
    <cellStyle name="??????????? ??????" xfId="106"/>
    <cellStyle name="??????1" xfId="107"/>
    <cellStyle name="??????2" xfId="108"/>
    <cellStyle name="??????3" xfId="109"/>
    <cellStyle name="??????4" xfId="110"/>
    <cellStyle name="??????5" xfId="111"/>
    <cellStyle name="??????6" xfId="112"/>
    <cellStyle name="20% - ??????1" xfId="113"/>
    <cellStyle name="20% - ??????2" xfId="114"/>
    <cellStyle name="20% - ??????3" xfId="115"/>
    <cellStyle name="20% - ??????4" xfId="116"/>
    <cellStyle name="20% - ??????5" xfId="117"/>
    <cellStyle name="20% - ??????6" xfId="11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20% - Акцент1" xfId="7"/>
    <cellStyle name="20% - Акцент2" xfId="8"/>
    <cellStyle name="20% - Акцент3" xfId="9"/>
    <cellStyle name="20% - Акцент4" xfId="10"/>
    <cellStyle name="20% - Акцент5" xfId="11"/>
    <cellStyle name="20% - Акцент6" xfId="12"/>
    <cellStyle name="40% - ??????1" xfId="119"/>
    <cellStyle name="40% - ??????2" xfId="120"/>
    <cellStyle name="40% - ??????3" xfId="121"/>
    <cellStyle name="40% - ??????4" xfId="122"/>
    <cellStyle name="40% - ??????5" xfId="123"/>
    <cellStyle name="40% - ??????6" xfId="124"/>
    <cellStyle name="40% - Accent1" xfId="13" builtinId="31" customBuiltin="1"/>
    <cellStyle name="40% - Accent2" xfId="14" builtinId="35" customBuiltin="1"/>
    <cellStyle name="40% - Accent3" xfId="15" builtinId="39" customBuiltin="1"/>
    <cellStyle name="40% - Accent4" xfId="16" builtinId="43" customBuiltin="1"/>
    <cellStyle name="40% - Accent5" xfId="17" builtinId="47" customBuiltin="1"/>
    <cellStyle name="40% - Accent6" xfId="18" builtinId="51" customBuiltin="1"/>
    <cellStyle name="40% - Акцент1" xfId="19"/>
    <cellStyle name="40% - Акцент2" xfId="20"/>
    <cellStyle name="40% - Акцент3" xfId="21"/>
    <cellStyle name="40% - Акцент4" xfId="22"/>
    <cellStyle name="40% - Акцент5" xfId="23"/>
    <cellStyle name="40% - Акцент6" xfId="24"/>
    <cellStyle name="60% - ??????1" xfId="125"/>
    <cellStyle name="60% - ??????2" xfId="126"/>
    <cellStyle name="60% - ??????3" xfId="127"/>
    <cellStyle name="60% - ??????4" xfId="128"/>
    <cellStyle name="60% - ??????5" xfId="129"/>
    <cellStyle name="60% - ??????6" xfId="130"/>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60% - Акцент1" xfId="31"/>
    <cellStyle name="60% - Акцент2" xfId="32"/>
    <cellStyle name="60% - Акцент3" xfId="33"/>
    <cellStyle name="60% - Акцент4" xfId="34"/>
    <cellStyle name="60% - Акцент5" xfId="35"/>
    <cellStyle name="60% - Акцент6" xfId="36"/>
    <cellStyle name="Accent1" xfId="37" builtinId="29" customBuiltin="1"/>
    <cellStyle name="Accent1 2" xfId="90"/>
    <cellStyle name="Accent2" xfId="38" builtinId="33" customBuiltin="1"/>
    <cellStyle name="Accent3" xfId="39" builtinId="37" customBuiltin="1"/>
    <cellStyle name="Accent3 2" xfId="88"/>
    <cellStyle name="Accent4" xfId="40" builtinId="41" customBuiltin="1"/>
    <cellStyle name="Accent4 2" xfId="87"/>
    <cellStyle name="Accent5" xfId="41" builtinId="45" customBuiltin="1"/>
    <cellStyle name="Accent5 2" xfId="89"/>
    <cellStyle name="Accent6" xfId="42" builtinId="49" customBuiltin="1"/>
    <cellStyle name="Bad" xfId="43" builtinId="27" customBuiltin="1"/>
    <cellStyle name="Calculation" xfId="44" builtinId="22" customBuiltin="1"/>
    <cellStyle name="Check Cell" xfId="45" builtinId="23" customBuiltin="1"/>
    <cellStyle name="Comma" xfId="46" builtinId="3"/>
    <cellStyle name="Explanatory Text" xfId="47" builtinId="53" customBuiltin="1"/>
    <cellStyle name="Good" xfId="48" builtinId="26" customBuiltin="1"/>
    <cellStyle name="Heading 1" xfId="49" builtinId="16" customBuiltin="1"/>
    <cellStyle name="Heading 2" xfId="50" builtinId="17" customBuiltin="1"/>
    <cellStyle name="Heading 3" xfId="51" builtinId="18" customBuiltin="1"/>
    <cellStyle name="Heading 4" xfId="52" builtinId="19" customBuiltin="1"/>
    <cellStyle name="Input" xfId="53" builtinId="20" customBuiltin="1"/>
    <cellStyle name="Linked Cell" xfId="54" builtinId="24" customBuiltin="1"/>
    <cellStyle name="Neutral" xfId="55" builtinId="28" customBuiltin="1"/>
    <cellStyle name="Normal" xfId="0" builtinId="0"/>
    <cellStyle name="Normal 2" xfId="86"/>
    <cellStyle name="Normal 2 2" xfId="134"/>
    <cellStyle name="Normal 2_Db" xfId="132"/>
    <cellStyle name="Normal 3" xfId="85"/>
    <cellStyle name="Normal 4" xfId="131"/>
    <cellStyle name="Normal 4 2" xfId="135"/>
    <cellStyle name="Normal 4 2 2" xfId="137"/>
    <cellStyle name="Normal 4_Db" xfId="136"/>
    <cellStyle name="Normal_Db" xfId="133"/>
    <cellStyle name="Note" xfId="56" builtinId="10" customBuiltin="1"/>
    <cellStyle name="Output" xfId="57" builtinId="21" customBuiltin="1"/>
    <cellStyle name="Percent" xfId="58" builtinId="5"/>
    <cellStyle name="Title" xfId="59" builtinId="15" customBuiltin="1"/>
    <cellStyle name="Total" xfId="60" builtinId="25" customBuiltin="1"/>
    <cellStyle name="Warning Text" xfId="61" builtinId="11" customBuiltin="1"/>
    <cellStyle name="Акцент1" xfId="62"/>
    <cellStyle name="Акцент2" xfId="63"/>
    <cellStyle name="Акцент3" xfId="64"/>
    <cellStyle name="Акцент4" xfId="65"/>
    <cellStyle name="Акцент5" xfId="66"/>
    <cellStyle name="Акцент6" xfId="67"/>
    <cellStyle name="Ввод " xfId="68"/>
    <cellStyle name="Вывод" xfId="69"/>
    <cellStyle name="Вычисление" xfId="70"/>
    <cellStyle name="Заголовок 1" xfId="71"/>
    <cellStyle name="Заголовок 2" xfId="72"/>
    <cellStyle name="Заголовок 3" xfId="73"/>
    <cellStyle name="Заголовок 4" xfId="74"/>
    <cellStyle name="Итог" xfId="75"/>
    <cellStyle name="Контрольная ячейка" xfId="76"/>
    <cellStyle name="Название" xfId="77"/>
    <cellStyle name="Нейтральный" xfId="78"/>
    <cellStyle name="Плохой" xfId="79"/>
    <cellStyle name="Пояснение" xfId="80"/>
    <cellStyle name="Примечание" xfId="81"/>
    <cellStyle name="Связанная ячейка" xfId="82"/>
    <cellStyle name="Текст предупреждения" xfId="83"/>
    <cellStyle name="Хороший" xfId="84"/>
  </cellStyles>
  <dxfs count="0"/>
  <tableStyles count="0" defaultTableStyle="TableStyleMedium9" defaultPivotStyle="PivotStyleLight16"/>
  <colors>
    <mruColors>
      <color rgb="FF538DD5"/>
      <color rgb="FFFFFF66"/>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Isp vs Propellant mass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Isc vs propellant 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50</c:v>
              </c:pt>
              <c:pt idx="1">
                <c:v>57.070707070707073</c:v>
              </c:pt>
              <c:pt idx="2">
                <c:v>64.141414141414145</c:v>
              </c:pt>
              <c:pt idx="3">
                <c:v>71.212121212121218</c:v>
              </c:pt>
              <c:pt idx="4">
                <c:v>78.282828282828291</c:v>
              </c:pt>
              <c:pt idx="5">
                <c:v>85.353535353535349</c:v>
              </c:pt>
              <c:pt idx="6">
                <c:v>92.424242424242422</c:v>
              </c:pt>
              <c:pt idx="7">
                <c:v>99.494949494949495</c:v>
              </c:pt>
              <c:pt idx="8">
                <c:v>106.56565656565657</c:v>
              </c:pt>
              <c:pt idx="9">
                <c:v>113.63636363636364</c:v>
              </c:pt>
              <c:pt idx="10">
                <c:v>120.70707070707071</c:v>
              </c:pt>
              <c:pt idx="11">
                <c:v>127.77777777777779</c:v>
              </c:pt>
              <c:pt idx="12">
                <c:v>134.84848484848484</c:v>
              </c:pt>
              <c:pt idx="13">
                <c:v>141.91919191919192</c:v>
              </c:pt>
              <c:pt idx="14">
                <c:v>148.98989898989899</c:v>
              </c:pt>
              <c:pt idx="15">
                <c:v>156.06060606060606</c:v>
              </c:pt>
              <c:pt idx="16">
                <c:v>163.13131313131314</c:v>
              </c:pt>
              <c:pt idx="17">
                <c:v>170.20202020202021</c:v>
              </c:pt>
              <c:pt idx="18">
                <c:v>177.27272727272728</c:v>
              </c:pt>
              <c:pt idx="19">
                <c:v>184.34343434343435</c:v>
              </c:pt>
              <c:pt idx="20">
                <c:v>191.41414141414143</c:v>
              </c:pt>
              <c:pt idx="21">
                <c:v>198.4848484848485</c:v>
              </c:pt>
              <c:pt idx="22">
                <c:v>205.55555555555557</c:v>
              </c:pt>
              <c:pt idx="23">
                <c:v>212.62626262626264</c:v>
              </c:pt>
              <c:pt idx="24">
                <c:v>219.69696969696969</c:v>
              </c:pt>
              <c:pt idx="25">
                <c:v>226.76767676767676</c:v>
              </c:pt>
              <c:pt idx="26">
                <c:v>233.83838383838383</c:v>
              </c:pt>
              <c:pt idx="27">
                <c:v>240.90909090909091</c:v>
              </c:pt>
              <c:pt idx="28">
                <c:v>247.97979797979798</c:v>
              </c:pt>
              <c:pt idx="29">
                <c:v>255.05050505050505</c:v>
              </c:pt>
              <c:pt idx="30">
                <c:v>262.12121212121212</c:v>
              </c:pt>
              <c:pt idx="31">
                <c:v>269.19191919191923</c:v>
              </c:pt>
              <c:pt idx="32">
                <c:v>276.26262626262627</c:v>
              </c:pt>
              <c:pt idx="33">
                <c:v>283.33333333333331</c:v>
              </c:pt>
              <c:pt idx="34">
                <c:v>290.40404040404042</c:v>
              </c:pt>
              <c:pt idx="35">
                <c:v>297.47474747474746</c:v>
              </c:pt>
              <c:pt idx="36">
                <c:v>304.54545454545456</c:v>
              </c:pt>
              <c:pt idx="37">
                <c:v>311.61616161616161</c:v>
              </c:pt>
              <c:pt idx="38">
                <c:v>318.68686868686871</c:v>
              </c:pt>
              <c:pt idx="39">
                <c:v>325.75757575757575</c:v>
              </c:pt>
              <c:pt idx="40">
                <c:v>332.82828282828285</c:v>
              </c:pt>
              <c:pt idx="41">
                <c:v>339.8989898989899</c:v>
              </c:pt>
              <c:pt idx="42">
                <c:v>346.969696969697</c:v>
              </c:pt>
              <c:pt idx="43">
                <c:v>354.04040404040404</c:v>
              </c:pt>
              <c:pt idx="44">
                <c:v>361.11111111111114</c:v>
              </c:pt>
              <c:pt idx="45">
                <c:v>368.18181818181819</c:v>
              </c:pt>
              <c:pt idx="46">
                <c:v>375.25252525252529</c:v>
              </c:pt>
              <c:pt idx="47">
                <c:v>382.32323232323233</c:v>
              </c:pt>
              <c:pt idx="48">
                <c:v>389.39393939393938</c:v>
              </c:pt>
              <c:pt idx="49">
                <c:v>396.46464646464648</c:v>
              </c:pt>
              <c:pt idx="50">
                <c:v>403.53535353535352</c:v>
              </c:pt>
              <c:pt idx="51">
                <c:v>410.60606060606062</c:v>
              </c:pt>
              <c:pt idx="52">
                <c:v>417.67676767676767</c:v>
              </c:pt>
              <c:pt idx="53">
                <c:v>424.74747474747477</c:v>
              </c:pt>
              <c:pt idx="54">
                <c:v>431.81818181818181</c:v>
              </c:pt>
              <c:pt idx="55">
                <c:v>438.88888888888891</c:v>
              </c:pt>
              <c:pt idx="56">
                <c:v>445.95959595959596</c:v>
              </c:pt>
              <c:pt idx="57">
                <c:v>453.03030303030306</c:v>
              </c:pt>
              <c:pt idx="58">
                <c:v>460.1010101010101</c:v>
              </c:pt>
              <c:pt idx="59">
                <c:v>467.17171717171721</c:v>
              </c:pt>
              <c:pt idx="60">
                <c:v>474.24242424242425</c:v>
              </c:pt>
              <c:pt idx="61">
                <c:v>481.31313131313135</c:v>
              </c:pt>
              <c:pt idx="62">
                <c:v>488.38383838383839</c:v>
              </c:pt>
              <c:pt idx="63">
                <c:v>495.4545454545455</c:v>
              </c:pt>
              <c:pt idx="64">
                <c:v>502.52525252525254</c:v>
              </c:pt>
              <c:pt idx="65">
                <c:v>509.59595959595958</c:v>
              </c:pt>
              <c:pt idx="66">
                <c:v>516.66666666666663</c:v>
              </c:pt>
              <c:pt idx="67">
                <c:v>523.73737373737379</c:v>
              </c:pt>
              <c:pt idx="68">
                <c:v>530.80808080808083</c:v>
              </c:pt>
              <c:pt idx="69">
                <c:v>537.87878787878788</c:v>
              </c:pt>
              <c:pt idx="70">
                <c:v>544.94949494949492</c:v>
              </c:pt>
              <c:pt idx="71">
                <c:v>552.02020202020208</c:v>
              </c:pt>
              <c:pt idx="72">
                <c:v>559.09090909090912</c:v>
              </c:pt>
              <c:pt idx="73">
                <c:v>566.16161616161617</c:v>
              </c:pt>
              <c:pt idx="74">
                <c:v>573.23232323232321</c:v>
              </c:pt>
              <c:pt idx="75">
                <c:v>580.30303030303037</c:v>
              </c:pt>
              <c:pt idx="76">
                <c:v>587.37373737373741</c:v>
              </c:pt>
              <c:pt idx="77">
                <c:v>594.44444444444446</c:v>
              </c:pt>
              <c:pt idx="78">
                <c:v>601.5151515151515</c:v>
              </c:pt>
              <c:pt idx="79">
                <c:v>608.58585858585866</c:v>
              </c:pt>
              <c:pt idx="80">
                <c:v>615.6565656565657</c:v>
              </c:pt>
              <c:pt idx="81">
                <c:v>622.72727272727275</c:v>
              </c:pt>
              <c:pt idx="82">
                <c:v>629.79797979797979</c:v>
              </c:pt>
              <c:pt idx="83">
                <c:v>636.86868686868684</c:v>
              </c:pt>
              <c:pt idx="84">
                <c:v>643.93939393939399</c:v>
              </c:pt>
              <c:pt idx="85">
                <c:v>651.01010101010104</c:v>
              </c:pt>
              <c:pt idx="86">
                <c:v>658.08080808080808</c:v>
              </c:pt>
              <c:pt idx="87">
                <c:v>665.15151515151513</c:v>
              </c:pt>
              <c:pt idx="88">
                <c:v>672.22222222222229</c:v>
              </c:pt>
              <c:pt idx="89">
                <c:v>679.29292929292933</c:v>
              </c:pt>
              <c:pt idx="90">
                <c:v>686.36363636363637</c:v>
              </c:pt>
              <c:pt idx="91">
                <c:v>693.43434343434342</c:v>
              </c:pt>
              <c:pt idx="92">
                <c:v>700.50505050505058</c:v>
              </c:pt>
              <c:pt idx="93">
                <c:v>707.57575757575762</c:v>
              </c:pt>
              <c:pt idx="94">
                <c:v>714.64646464646466</c:v>
              </c:pt>
              <c:pt idx="95">
                <c:v>721.71717171717171</c:v>
              </c:pt>
              <c:pt idx="96">
                <c:v>728.78787878787875</c:v>
              </c:pt>
              <c:pt idx="97">
                <c:v>735.85858585858591</c:v>
              </c:pt>
              <c:pt idx="98">
                <c:v>742.92929292929296</c:v>
              </c:pt>
              <c:pt idx="99">
                <c:v>750</c:v>
              </c:pt>
            </c:numLit>
          </c:xVal>
          <c:yVal>
            <c:numLit>
              <c:formatCode>General</c:formatCode>
              <c:ptCount val="100"/>
              <c:pt idx="0">
                <c:v>2.8803635813773276</c:v>
              </c:pt>
              <c:pt idx="1">
                <c:v>2.4707396280136074</c:v>
              </c:pt>
              <c:pt idx="2">
                <c:v>2.1629365840661521</c:v>
              </c:pt>
              <c:pt idx="3">
                <c:v>1.9232292151640151</c:v>
              </c:pt>
              <c:pt idx="4">
                <c:v>1.7312928894004656</c:v>
              </c:pt>
              <c:pt idx="5">
                <c:v>1.5741534508004127</c:v>
              </c:pt>
              <c:pt idx="6">
                <c:v>1.4431417889667919</c:v>
              </c:pt>
              <c:pt idx="7">
                <c:v>1.3322459613519129</c:v>
              </c:pt>
              <c:pt idx="8">
                <c:v>1.2371660868810277</c:v>
              </c:pt>
              <c:pt idx="9">
                <c:v>1.1547456769807412</c:v>
              </c:pt>
              <c:pt idx="10">
                <c:v>1.0826154267048502</c:v>
              </c:pt>
              <c:pt idx="11">
                <c:v>1.0189623165332564</c:v>
              </c:pt>
              <c:pt idx="12">
                <c:v>0.96237545795519719</c:v>
              </c:pt>
              <c:pt idx="13">
                <c:v>0.91174049420746006</c:v>
              </c:pt>
              <c:pt idx="14">
                <c:v>0.86616560787664321</c:v>
              </c:pt>
              <c:pt idx="15">
                <c:v>0.82492862543618461</c:v>
              </c:pt>
              <c:pt idx="16">
                <c:v>0.78743852086270194</c:v>
              </c:pt>
              <c:pt idx="17">
                <c:v>0.75320694477938055</c:v>
              </c:pt>
              <c:pt idx="18">
                <c:v>0.72182686034998678</c:v>
              </c:pt>
              <c:pt idx="19">
                <c:v>0.69295629935240943</c:v>
              </c:pt>
              <c:pt idx="20">
                <c:v>0.66630586202992981</c:v>
              </c:pt>
              <c:pt idx="21">
                <c:v>0.64162899147567565</c:v>
              </c:pt>
              <c:pt idx="22">
                <c:v>0.61871432981571728</c:v>
              </c:pt>
              <c:pt idx="23">
                <c:v>0.59737965428918383</c:v>
              </c:pt>
              <c:pt idx="24">
                <c:v>0.57746702499126701</c:v>
              </c:pt>
              <c:pt idx="25">
                <c:v>0.55883887095912677</c:v>
              </c:pt>
              <c:pt idx="26">
                <c:v>0.54137480953429973</c:v>
              </c:pt>
              <c:pt idx="27">
                <c:v>0.52496904359653496</c:v>
              </c:pt>
              <c:pt idx="28">
                <c:v>0.50952821779422042</c:v>
              </c:pt>
              <c:pt idx="29">
                <c:v>0.49496964204324978</c:v>
              </c:pt>
              <c:pt idx="30">
                <c:v>0.48121981093280414</c:v>
              </c:pt>
              <c:pt idx="31">
                <c:v>0.46821316309366728</c:v>
              </c:pt>
              <c:pt idx="32">
                <c:v>0.45589103635362599</c:v>
              </c:pt>
              <c:pt idx="33">
                <c:v>0.44420078355968945</c:v>
              </c:pt>
              <c:pt idx="34">
                <c:v>0.4330950209662604</c:v>
              </c:pt>
              <c:pt idx="35">
                <c:v>0.4225309865680007</c:v>
              </c:pt>
              <c:pt idx="36">
                <c:v>0.41246999006245177</c:v>
              </c:pt>
              <c:pt idx="37">
                <c:v>0.40287693953292358</c:v>
              </c:pt>
              <c:pt idx="38">
                <c:v>0.39371993265155897</c:v>
              </c:pt>
              <c:pt idx="39">
                <c:v>0.38496990237035172</c:v>
              </c:pt>
              <c:pt idx="40">
                <c:v>0.37660030881171569</c:v>
              </c:pt>
              <c:pt idx="41">
                <c:v>0.36858687048043531</c:v>
              </c:pt>
              <c:pt idx="42">
                <c:v>0.36090732906463069</c:v>
              </c:pt>
              <c:pt idx="43">
                <c:v>0.35354124302895634</c:v>
              </c:pt>
              <c:pt idx="44">
                <c:v>0.34646980597036486</c:v>
              </c:pt>
              <c:pt idx="45">
                <c:v>0.33967568633873885</c:v>
              </c:pt>
              <c:pt idx="46">
                <c:v>0.33314288564709282</c:v>
              </c:pt>
              <c:pt idx="47">
                <c:v>0.32685661273009026</c:v>
              </c:pt>
              <c:pt idx="48">
                <c:v>0.3208031719709834</c:v>
              </c:pt>
              <c:pt idx="49">
                <c:v>0.31496986371969193</c:v>
              </c:pt>
              <c:pt idx="50">
                <c:v>0.30934489537842169</c:v>
              </c:pt>
              <c:pt idx="51">
                <c:v>0.30391730184511556</c:v>
              </c:pt>
              <c:pt idx="52">
                <c:v>0.29867687418556044</c:v>
              </c:pt>
              <c:pt idx="53">
                <c:v>0.29361409555805107</c:v>
              </c:pt>
              <c:pt idx="54">
                <c:v>0.28872008354467932</c:v>
              </c:pt>
              <c:pt idx="55">
                <c:v>0.28398653815415148</c:v>
              </c:pt>
              <c:pt idx="56">
                <c:v>0.27940569485596656</c:v>
              </c:pt>
              <c:pt idx="57">
                <c:v>0.27497028208695068</c:v>
              </c:pt>
              <c:pt idx="58">
                <c:v>0.27067348274109571</c:v>
              </c:pt>
              <c:pt idx="59">
                <c:v>0.26650889921379356</c:v>
              </c:pt>
              <c:pt idx="60">
                <c:v>0.26247052162352663</c:v>
              </c:pt>
              <c:pt idx="61">
                <c:v>0.25855269887910071</c:v>
              </c:pt>
              <c:pt idx="62">
                <c:v>0.25475011229951322</c:v>
              </c:pt>
              <c:pt idx="63">
                <c:v>0.25105775152755966</c:v>
              </c:pt>
              <c:pt idx="64">
                <c:v>0.24747089250780838</c:v>
              </c:pt>
              <c:pt idx="65">
                <c:v>0.24398507732542954</c:v>
              </c:pt>
              <c:pt idx="66">
                <c:v>0.24059609572500687</c:v>
              </c:pt>
              <c:pt idx="67">
                <c:v>0.23729996814824253</c:v>
              </c:pt>
              <c:pt idx="68">
                <c:v>0.23409293014688484</c:v>
              </c:pt>
              <c:pt idx="69">
                <c:v>0.23097141804253959</c:v>
              </c:pt>
              <c:pt idx="70">
                <c:v>0.22793205571854744</c:v>
              </c:pt>
              <c:pt idx="71">
                <c:v>0.22497164244098447</c:v>
              </c:pt>
              <c:pt idx="72">
                <c:v>0.22208714161647811</c:v>
              </c:pt>
              <c:pt idx="73">
                <c:v>0.21927567040380647</c:v>
              </c:pt>
              <c:pt idx="74">
                <c:v>0.21653449010459</c:v>
              </c:pt>
              <c:pt idx="75">
                <c:v>0.21386099726576077</c:v>
              </c:pt>
              <c:pt idx="76">
                <c:v>0.21125271543303101</c:v>
              </c:pt>
              <c:pt idx="77">
                <c:v>0.20870728750048229</c:v>
              </c:pt>
              <c:pt idx="78">
                <c:v>0.20622246860658397</c:v>
              </c:pt>
              <c:pt idx="79">
                <c:v>0.20379611953166166</c:v>
              </c:pt>
              <c:pt idx="80">
                <c:v>0.20142620055598306</c:v>
              </c:pt>
              <c:pt idx="81">
                <c:v>0.19911076574141937</c:v>
              </c:pt>
              <c:pt idx="82">
                <c:v>0.19684795760297202</c:v>
              </c:pt>
              <c:pt idx="83">
                <c:v>0.19463600213952184</c:v>
              </c:pt>
              <c:pt idx="84">
                <c:v>0.19247320419585409</c:v>
              </c:pt>
              <c:pt idx="85">
                <c:v>0.19035794313047477</c:v>
              </c:pt>
              <c:pt idx="86">
                <c:v>0.18828866876593955</c:v>
              </c:pt>
              <c:pt idx="87">
                <c:v>0.18626389760048401</c:v>
              </c:pt>
              <c:pt idx="88">
                <c:v>0.18428220926141806</c:v>
              </c:pt>
              <c:pt idx="89">
                <c:v>0.18234224318254352</c:v>
              </c:pt>
              <c:pt idx="90">
                <c:v>0.18044269548921496</c:v>
              </c:pt>
              <c:pt idx="91">
                <c:v>0.17858231607608346</c:v>
              </c:pt>
              <c:pt idx="92">
                <c:v>0.1767599058637363</c:v>
              </c:pt>
              <c:pt idx="93">
                <c:v>0.17497431422162607</c:v>
              </c:pt>
              <c:pt idx="94">
                <c:v>0.17322443654559516</c:v>
              </c:pt>
              <c:pt idx="95">
                <c:v>0.17150921197933011</c:v>
              </c:pt>
              <c:pt idx="96">
                <c:v>0.16982762126982451</c:v>
              </c:pt>
              <c:pt idx="97">
                <c:v>0.16817868474779316</c:v>
              </c:pt>
              <c:pt idx="98">
                <c:v>0.16656146042457332</c:v>
              </c:pt>
              <c:pt idx="99">
                <c:v>0.1649750421978036</c:v>
              </c:pt>
            </c:numLit>
          </c:yVal>
          <c:smooth val="0"/>
          <c:extLst>
            <c:ext xmlns:c16="http://schemas.microsoft.com/office/drawing/2014/chart" uri="{C3380CC4-5D6E-409C-BE32-E72D297353CC}">
              <c16:uniqueId val="{00000000-9E4F-4505-BE6C-445A95BBCEFF}"/>
            </c:ext>
          </c:extLst>
        </c:ser>
        <c:dLbls>
          <c:showLegendKey val="0"/>
          <c:showVal val="0"/>
          <c:showCatName val="0"/>
          <c:showSerName val="0"/>
          <c:showPercent val="0"/>
          <c:showBubbleSize val="0"/>
        </c:dLbls>
        <c:axId val="619215512"/>
        <c:axId val="619223384"/>
      </c:scatterChart>
      <c:valAx>
        <c:axId val="61921551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Isc[s]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23384"/>
        <c:crosses val="autoZero"/>
        <c:crossBetween val="midCat"/>
      </c:valAx>
      <c:valAx>
        <c:axId val="61922338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Propellant Mass [Kg]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155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Isp vs tank volume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Isc vs tank volume</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50</c:v>
              </c:pt>
              <c:pt idx="1">
                <c:v>57.070707070707073</c:v>
              </c:pt>
              <c:pt idx="2">
                <c:v>64.141414141414145</c:v>
              </c:pt>
              <c:pt idx="3">
                <c:v>71.212121212121218</c:v>
              </c:pt>
              <c:pt idx="4">
                <c:v>78.282828282828291</c:v>
              </c:pt>
              <c:pt idx="5">
                <c:v>85.353535353535349</c:v>
              </c:pt>
              <c:pt idx="6">
                <c:v>92.424242424242422</c:v>
              </c:pt>
              <c:pt idx="7">
                <c:v>99.494949494949495</c:v>
              </c:pt>
              <c:pt idx="8">
                <c:v>106.56565656565657</c:v>
              </c:pt>
              <c:pt idx="9">
                <c:v>113.63636363636364</c:v>
              </c:pt>
              <c:pt idx="10">
                <c:v>120.70707070707071</c:v>
              </c:pt>
              <c:pt idx="11">
                <c:v>127.77777777777779</c:v>
              </c:pt>
              <c:pt idx="12">
                <c:v>134.84848484848484</c:v>
              </c:pt>
              <c:pt idx="13">
                <c:v>141.91919191919192</c:v>
              </c:pt>
              <c:pt idx="14">
                <c:v>148.98989898989899</c:v>
              </c:pt>
              <c:pt idx="15">
                <c:v>156.06060606060606</c:v>
              </c:pt>
              <c:pt idx="16">
                <c:v>163.13131313131314</c:v>
              </c:pt>
              <c:pt idx="17">
                <c:v>170.20202020202021</c:v>
              </c:pt>
              <c:pt idx="18">
                <c:v>177.27272727272728</c:v>
              </c:pt>
              <c:pt idx="19">
                <c:v>184.34343434343435</c:v>
              </c:pt>
              <c:pt idx="20">
                <c:v>191.41414141414143</c:v>
              </c:pt>
              <c:pt idx="21">
                <c:v>198.4848484848485</c:v>
              </c:pt>
              <c:pt idx="22">
                <c:v>205.55555555555557</c:v>
              </c:pt>
              <c:pt idx="23">
                <c:v>212.62626262626264</c:v>
              </c:pt>
              <c:pt idx="24">
                <c:v>219.69696969696969</c:v>
              </c:pt>
              <c:pt idx="25">
                <c:v>226.76767676767676</c:v>
              </c:pt>
              <c:pt idx="26">
                <c:v>233.83838383838383</c:v>
              </c:pt>
              <c:pt idx="27">
                <c:v>240.90909090909091</c:v>
              </c:pt>
              <c:pt idx="28">
                <c:v>247.97979797979798</c:v>
              </c:pt>
              <c:pt idx="29">
                <c:v>255.05050505050505</c:v>
              </c:pt>
              <c:pt idx="30">
                <c:v>262.12121212121212</c:v>
              </c:pt>
              <c:pt idx="31">
                <c:v>269.19191919191923</c:v>
              </c:pt>
              <c:pt idx="32">
                <c:v>276.26262626262627</c:v>
              </c:pt>
              <c:pt idx="33">
                <c:v>283.33333333333331</c:v>
              </c:pt>
              <c:pt idx="34">
                <c:v>290.40404040404042</c:v>
              </c:pt>
              <c:pt idx="35">
                <c:v>297.47474747474746</c:v>
              </c:pt>
              <c:pt idx="36">
                <c:v>304.54545454545456</c:v>
              </c:pt>
              <c:pt idx="37">
                <c:v>311.61616161616161</c:v>
              </c:pt>
              <c:pt idx="38">
                <c:v>318.68686868686871</c:v>
              </c:pt>
              <c:pt idx="39">
                <c:v>325.75757575757575</c:v>
              </c:pt>
              <c:pt idx="40">
                <c:v>332.82828282828285</c:v>
              </c:pt>
              <c:pt idx="41">
                <c:v>339.8989898989899</c:v>
              </c:pt>
              <c:pt idx="42">
                <c:v>346.969696969697</c:v>
              </c:pt>
              <c:pt idx="43">
                <c:v>354.04040404040404</c:v>
              </c:pt>
              <c:pt idx="44">
                <c:v>361.11111111111114</c:v>
              </c:pt>
              <c:pt idx="45">
                <c:v>368.18181818181819</c:v>
              </c:pt>
              <c:pt idx="46">
                <c:v>375.25252525252529</c:v>
              </c:pt>
              <c:pt idx="47">
                <c:v>382.32323232323233</c:v>
              </c:pt>
              <c:pt idx="48">
                <c:v>389.39393939393938</c:v>
              </c:pt>
              <c:pt idx="49">
                <c:v>396.46464646464648</c:v>
              </c:pt>
              <c:pt idx="50">
                <c:v>403.53535353535352</c:v>
              </c:pt>
              <c:pt idx="51">
                <c:v>410.60606060606062</c:v>
              </c:pt>
              <c:pt idx="52">
                <c:v>417.67676767676767</c:v>
              </c:pt>
              <c:pt idx="53">
                <c:v>424.74747474747477</c:v>
              </c:pt>
              <c:pt idx="54">
                <c:v>431.81818181818181</c:v>
              </c:pt>
              <c:pt idx="55">
                <c:v>438.88888888888891</c:v>
              </c:pt>
              <c:pt idx="56">
                <c:v>445.95959595959596</c:v>
              </c:pt>
              <c:pt idx="57">
                <c:v>453.03030303030306</c:v>
              </c:pt>
              <c:pt idx="58">
                <c:v>460.1010101010101</c:v>
              </c:pt>
              <c:pt idx="59">
                <c:v>467.17171717171721</c:v>
              </c:pt>
              <c:pt idx="60">
                <c:v>474.24242424242425</c:v>
              </c:pt>
              <c:pt idx="61">
                <c:v>481.31313131313135</c:v>
              </c:pt>
              <c:pt idx="62">
                <c:v>488.38383838383839</c:v>
              </c:pt>
              <c:pt idx="63">
                <c:v>495.4545454545455</c:v>
              </c:pt>
              <c:pt idx="64">
                <c:v>502.52525252525254</c:v>
              </c:pt>
              <c:pt idx="65">
                <c:v>509.59595959595958</c:v>
              </c:pt>
              <c:pt idx="66">
                <c:v>516.66666666666663</c:v>
              </c:pt>
              <c:pt idx="67">
                <c:v>523.73737373737379</c:v>
              </c:pt>
              <c:pt idx="68">
                <c:v>530.80808080808083</c:v>
              </c:pt>
              <c:pt idx="69">
                <c:v>537.87878787878788</c:v>
              </c:pt>
              <c:pt idx="70">
                <c:v>544.94949494949492</c:v>
              </c:pt>
              <c:pt idx="71">
                <c:v>552.02020202020208</c:v>
              </c:pt>
              <c:pt idx="72">
                <c:v>559.09090909090912</c:v>
              </c:pt>
              <c:pt idx="73">
                <c:v>566.16161616161617</c:v>
              </c:pt>
              <c:pt idx="74">
                <c:v>573.23232323232321</c:v>
              </c:pt>
              <c:pt idx="75">
                <c:v>580.30303030303037</c:v>
              </c:pt>
              <c:pt idx="76">
                <c:v>587.37373737373741</c:v>
              </c:pt>
              <c:pt idx="77">
                <c:v>594.44444444444446</c:v>
              </c:pt>
              <c:pt idx="78">
                <c:v>601.5151515151515</c:v>
              </c:pt>
              <c:pt idx="79">
                <c:v>608.58585858585866</c:v>
              </c:pt>
              <c:pt idx="80">
                <c:v>615.6565656565657</c:v>
              </c:pt>
              <c:pt idx="81">
                <c:v>622.72727272727275</c:v>
              </c:pt>
              <c:pt idx="82">
                <c:v>629.79797979797979</c:v>
              </c:pt>
              <c:pt idx="83">
                <c:v>636.86868686868684</c:v>
              </c:pt>
              <c:pt idx="84">
                <c:v>643.93939393939399</c:v>
              </c:pt>
              <c:pt idx="85">
                <c:v>651.01010101010104</c:v>
              </c:pt>
              <c:pt idx="86">
                <c:v>658.08080808080808</c:v>
              </c:pt>
              <c:pt idx="87">
                <c:v>665.15151515151513</c:v>
              </c:pt>
              <c:pt idx="88">
                <c:v>672.22222222222229</c:v>
              </c:pt>
              <c:pt idx="89">
                <c:v>679.29292929292933</c:v>
              </c:pt>
              <c:pt idx="90">
                <c:v>686.36363636363637</c:v>
              </c:pt>
              <c:pt idx="91">
                <c:v>693.43434343434342</c:v>
              </c:pt>
              <c:pt idx="92">
                <c:v>700.50505050505058</c:v>
              </c:pt>
              <c:pt idx="93">
                <c:v>707.57575757575762</c:v>
              </c:pt>
              <c:pt idx="94">
                <c:v>714.64646464646466</c:v>
              </c:pt>
              <c:pt idx="95">
                <c:v>721.71717171717171</c:v>
              </c:pt>
              <c:pt idx="96">
                <c:v>728.78787878787875</c:v>
              </c:pt>
              <c:pt idx="97">
                <c:v>735.85858585858591</c:v>
              </c:pt>
              <c:pt idx="98">
                <c:v>742.92929292929296</c:v>
              </c:pt>
              <c:pt idx="99">
                <c:v>750</c:v>
              </c:pt>
            </c:numLit>
          </c:xVal>
          <c:yVal>
            <c:numLit>
              <c:formatCode>General</c:formatCode>
              <c:ptCount val="100"/>
              <c:pt idx="0">
                <c:v>1.4140223767193556</c:v>
              </c:pt>
              <c:pt idx="1">
                <c:v>1.2129305979448244</c:v>
              </c:pt>
              <c:pt idx="2">
                <c:v>1.0618245380786215</c:v>
              </c:pt>
              <c:pt idx="3">
                <c:v>0.94414787195091565</c:v>
              </c:pt>
              <c:pt idx="4">
                <c:v>0.84992287157607538</c:v>
              </c:pt>
              <c:pt idx="5">
                <c:v>0.77278029003456694</c:v>
              </c:pt>
              <c:pt idx="6">
                <c:v>0.70846430484378586</c:v>
              </c:pt>
              <c:pt idx="7">
                <c:v>0.65402354509175886</c:v>
              </c:pt>
              <c:pt idx="8">
                <c:v>0.60734712168926241</c:v>
              </c:pt>
              <c:pt idx="9">
                <c:v>0.56688545752613706</c:v>
              </c:pt>
              <c:pt idx="10">
                <c:v>0.53147541811725585</c:v>
              </c:pt>
              <c:pt idx="11">
                <c:v>0.50022695951558982</c:v>
              </c:pt>
              <c:pt idx="12">
                <c:v>0.47244745113166281</c:v>
              </c:pt>
              <c:pt idx="13">
                <c:v>0.44758983515339229</c:v>
              </c:pt>
              <c:pt idx="14">
                <c:v>0.42521630234494018</c:v>
              </c:pt>
              <c:pt idx="15">
                <c:v>0.40497232471093997</c:v>
              </c:pt>
              <c:pt idx="16">
                <c:v>0.38656775692817963</c:v>
              </c:pt>
              <c:pt idx="17">
                <c:v>0.36976285948914117</c:v>
              </c:pt>
              <c:pt idx="18">
                <c:v>0.35435781067746036</c:v>
              </c:pt>
              <c:pt idx="19">
                <c:v>0.34018473213176703</c:v>
              </c:pt>
              <c:pt idx="20">
                <c:v>0.32710155229746185</c:v>
              </c:pt>
              <c:pt idx="21">
                <c:v>0.31498723194682166</c:v>
              </c:pt>
              <c:pt idx="22">
                <c:v>0.30373801169156467</c:v>
              </c:pt>
              <c:pt idx="23">
                <c:v>0.29326443509532835</c:v>
              </c:pt>
              <c:pt idx="24">
                <c:v>0.28348896661328765</c:v>
              </c:pt>
              <c:pt idx="25">
                <c:v>0.27434407018121099</c:v>
              </c:pt>
              <c:pt idx="26">
                <c:v>0.26577064778316134</c:v>
              </c:pt>
              <c:pt idx="27">
                <c:v>0.25771676170669366</c:v>
              </c:pt>
              <c:pt idx="28">
                <c:v>0.25013658212774686</c:v>
              </c:pt>
              <c:pt idx="29">
                <c:v>0.2429895149942316</c:v>
              </c:pt>
              <c:pt idx="30">
                <c:v>0.2362394751756525</c:v>
              </c:pt>
              <c:pt idx="31">
                <c:v>0.22985427741466238</c:v>
              </c:pt>
              <c:pt idx="32">
                <c:v>0.22380512339402356</c:v>
              </c:pt>
              <c:pt idx="33">
                <c:v>0.21806616767780532</c:v>
              </c:pt>
              <c:pt idx="34">
                <c:v>0.21261414873159568</c:v>
              </c:pt>
              <c:pt idx="35">
                <c:v>0.20742807391654428</c:v>
              </c:pt>
              <c:pt idx="36">
                <c:v>0.20248894946610296</c:v>
              </c:pt>
              <c:pt idx="37">
                <c:v>0.19777954812612841</c:v>
              </c:pt>
              <c:pt idx="38">
                <c:v>0.1932842084691011</c:v>
              </c:pt>
              <c:pt idx="39">
                <c:v>0.18898866095746281</c:v>
              </c:pt>
              <c:pt idx="40">
                <c:v>0.18487987668714564</c:v>
              </c:pt>
              <c:pt idx="41">
                <c:v>0.18094593543467613</c:v>
              </c:pt>
              <c:pt idx="42">
                <c:v>0.1771759101937313</c:v>
              </c:pt>
              <c:pt idx="43">
                <c:v>0.17355976584632124</c:v>
              </c:pt>
              <c:pt idx="44">
                <c:v>0.17008826999036078</c:v>
              </c:pt>
              <c:pt idx="45">
                <c:v>0.16675291425564009</c:v>
              </c:pt>
              <c:pt idx="46">
                <c:v>0.16354584469665823</c:v>
              </c:pt>
              <c:pt idx="47">
                <c:v>0.16045980006386365</c:v>
              </c:pt>
              <c:pt idx="48">
                <c:v>0.15748805693224516</c:v>
              </c:pt>
              <c:pt idx="49">
                <c:v>0.15462438081477267</c:v>
              </c:pt>
              <c:pt idx="50">
                <c:v>0.15186298251272543</c:v>
              </c:pt>
              <c:pt idx="51">
                <c:v>0.14919847905994871</c:v>
              </c:pt>
              <c:pt idx="52">
                <c:v>0.14662585870670614</c:v>
              </c:pt>
              <c:pt idx="53">
                <c:v>0.14414044946394261</c:v>
              </c:pt>
              <c:pt idx="54">
                <c:v>0.14173789079267515</c:v>
              </c:pt>
              <c:pt idx="55">
                <c:v>0.1394141080776394</c:v>
              </c:pt>
              <c:pt idx="56">
                <c:v>0.13716528957092122</c:v>
              </c:pt>
              <c:pt idx="57">
                <c:v>0.13498786553114908</c:v>
              </c:pt>
              <c:pt idx="58">
                <c:v>0.13287848931816185</c:v>
              </c:pt>
              <c:pt idx="59">
                <c:v>0.1308340202325938</c:v>
              </c:pt>
              <c:pt idx="60">
                <c:v>0.1288515079153297</c:v>
              </c:pt>
              <c:pt idx="61">
                <c:v>0.1269281781438884</c:v>
              </c:pt>
              <c:pt idx="62">
                <c:v>0.12506141988194072</c:v>
              </c:pt>
              <c:pt idx="63">
                <c:v>0.12324877345486482</c:v>
              </c:pt>
              <c:pt idx="64">
                <c:v>0.12148791973873754</c:v>
              </c:pt>
              <c:pt idx="65">
                <c:v>0.11977667026285201</c:v>
              </c:pt>
              <c:pt idx="66">
                <c:v>0.1181129581369695</c:v>
              </c:pt>
              <c:pt idx="67">
                <c:v>0.11649482972422315</c:v>
              </c:pt>
              <c:pt idx="68">
                <c:v>0.11492043698914327</c:v>
              </c:pt>
              <c:pt idx="69">
                <c:v>0.11338803045780048</c:v>
              </c:pt>
              <c:pt idx="70">
                <c:v>0.11189595273370027</c:v>
              </c:pt>
              <c:pt idx="71">
                <c:v>0.11044263251889272</c:v>
              </c:pt>
              <c:pt idx="72">
                <c:v>0.1090265790949819</c:v>
              </c:pt>
              <c:pt idx="73">
                <c:v>0.10764637722327268</c:v>
              </c:pt>
              <c:pt idx="74">
                <c:v>0.10630068242738831</c:v>
              </c:pt>
              <c:pt idx="75">
                <c:v>0.1049882166253121</c:v>
              </c:pt>
              <c:pt idx="76">
                <c:v>0.10370776408101669</c:v>
              </c:pt>
              <c:pt idx="77">
                <c:v>0.10245816764873945</c:v>
              </c:pt>
              <c:pt idx="78">
                <c:v>0.10123832528551005</c:v>
              </c:pt>
              <c:pt idx="79">
                <c:v>0.10004718680984863</c:v>
              </c:pt>
              <c:pt idx="80">
                <c:v>9.8883750886589614E-2</c:v>
              </c:pt>
              <c:pt idx="81">
                <c:v>9.7747062219646227E-2</c:v>
              </c:pt>
              <c:pt idx="82">
                <c:v>9.6636208936166923E-2</c:v>
              </c:pt>
              <c:pt idx="83">
                <c:v>9.5550320147040665E-2</c:v>
              </c:pt>
              <c:pt idx="84">
                <c:v>9.4488563670031459E-2</c:v>
              </c:pt>
              <c:pt idx="85">
                <c:v>9.3450143903031302E-2</c:v>
              </c:pt>
              <c:pt idx="86">
                <c:v>9.2434299836003708E-2</c:v>
              </c:pt>
              <c:pt idx="87">
                <c:v>9.1440303191204705E-2</c:v>
              </c:pt>
              <c:pt idx="88">
                <c:v>9.0467456682090358E-2</c:v>
              </c:pt>
              <c:pt idx="89">
                <c:v>8.9515092382201039E-2</c:v>
              </c:pt>
              <c:pt idx="90">
                <c:v>8.8582570195981827E-2</c:v>
              </c:pt>
              <c:pt idx="91">
                <c:v>8.7669276424194142E-2</c:v>
              </c:pt>
              <c:pt idx="92">
                <c:v>8.6774622417150851E-2</c:v>
              </c:pt>
              <c:pt idx="93">
                <c:v>8.5898043309585712E-2</c:v>
              </c:pt>
              <c:pt idx="94">
                <c:v>8.5038996831416372E-2</c:v>
              </c:pt>
              <c:pt idx="95">
                <c:v>8.4196962189165489E-2</c:v>
              </c:pt>
              <c:pt idx="96">
                <c:v>8.3371439013168624E-2</c:v>
              </c:pt>
              <c:pt idx="97">
                <c:v>8.2561946366123296E-2</c:v>
              </c:pt>
              <c:pt idx="98">
                <c:v>8.1768021808823421E-2</c:v>
              </c:pt>
              <c:pt idx="99">
                <c:v>8.0989220519294844E-2</c:v>
              </c:pt>
            </c:numLit>
          </c:yVal>
          <c:smooth val="0"/>
          <c:extLst>
            <c:ext xmlns:c16="http://schemas.microsoft.com/office/drawing/2014/chart" uri="{C3380CC4-5D6E-409C-BE32-E72D297353CC}">
              <c16:uniqueId val="{00000000-A4EF-41B2-821B-A987AB7A95EF}"/>
            </c:ext>
          </c:extLst>
        </c:ser>
        <c:dLbls>
          <c:showLegendKey val="0"/>
          <c:showVal val="0"/>
          <c:showCatName val="0"/>
          <c:showSerName val="0"/>
          <c:showPercent val="0"/>
          <c:showBubbleSize val="0"/>
        </c:dLbls>
        <c:axId val="619223712"/>
        <c:axId val="619224368"/>
      </c:scatterChart>
      <c:valAx>
        <c:axId val="61922371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Isc[s]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24368"/>
        <c:crosses val="autoZero"/>
        <c:crossBetween val="midCat"/>
      </c:valAx>
      <c:valAx>
        <c:axId val="61922436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Tank Volume [m^3]</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237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Isp vs thrust level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TankvsSpacecraftMass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50</c:v>
              </c:pt>
              <c:pt idx="1">
                <c:v>57.070707070707073</c:v>
              </c:pt>
              <c:pt idx="2">
                <c:v>64.141414141414145</c:v>
              </c:pt>
              <c:pt idx="3">
                <c:v>71.212121212121218</c:v>
              </c:pt>
              <c:pt idx="4">
                <c:v>78.282828282828291</c:v>
              </c:pt>
              <c:pt idx="5">
                <c:v>85.353535353535349</c:v>
              </c:pt>
              <c:pt idx="6">
                <c:v>92.424242424242422</c:v>
              </c:pt>
              <c:pt idx="7">
                <c:v>99.494949494949495</c:v>
              </c:pt>
              <c:pt idx="8">
                <c:v>106.56565656565657</c:v>
              </c:pt>
              <c:pt idx="9">
                <c:v>113.63636363636364</c:v>
              </c:pt>
              <c:pt idx="10">
                <c:v>120.70707070707071</c:v>
              </c:pt>
              <c:pt idx="11">
                <c:v>127.77777777777779</c:v>
              </c:pt>
              <c:pt idx="12">
                <c:v>134.84848484848484</c:v>
              </c:pt>
              <c:pt idx="13">
                <c:v>141.91919191919192</c:v>
              </c:pt>
              <c:pt idx="14">
                <c:v>148.98989898989899</c:v>
              </c:pt>
              <c:pt idx="15">
                <c:v>156.06060606060606</c:v>
              </c:pt>
              <c:pt idx="16">
                <c:v>163.13131313131314</c:v>
              </c:pt>
              <c:pt idx="17">
                <c:v>170.20202020202021</c:v>
              </c:pt>
              <c:pt idx="18">
                <c:v>177.27272727272728</c:v>
              </c:pt>
              <c:pt idx="19">
                <c:v>184.34343434343435</c:v>
              </c:pt>
              <c:pt idx="20">
                <c:v>191.41414141414143</c:v>
              </c:pt>
              <c:pt idx="21">
                <c:v>198.4848484848485</c:v>
              </c:pt>
              <c:pt idx="22">
                <c:v>205.55555555555557</c:v>
              </c:pt>
              <c:pt idx="23">
                <c:v>212.62626262626264</c:v>
              </c:pt>
              <c:pt idx="24">
                <c:v>219.69696969696969</c:v>
              </c:pt>
              <c:pt idx="25">
                <c:v>226.76767676767676</c:v>
              </c:pt>
              <c:pt idx="26">
                <c:v>233.83838383838383</c:v>
              </c:pt>
              <c:pt idx="27">
                <c:v>240.90909090909091</c:v>
              </c:pt>
              <c:pt idx="28">
                <c:v>247.97979797979798</c:v>
              </c:pt>
              <c:pt idx="29">
                <c:v>255.05050505050505</c:v>
              </c:pt>
              <c:pt idx="30">
                <c:v>262.12121212121212</c:v>
              </c:pt>
              <c:pt idx="31">
                <c:v>269.19191919191923</c:v>
              </c:pt>
              <c:pt idx="32">
                <c:v>276.26262626262627</c:v>
              </c:pt>
              <c:pt idx="33">
                <c:v>283.33333333333331</c:v>
              </c:pt>
              <c:pt idx="34">
                <c:v>290.40404040404042</c:v>
              </c:pt>
              <c:pt idx="35">
                <c:v>297.47474747474746</c:v>
              </c:pt>
              <c:pt idx="36">
                <c:v>304.54545454545456</c:v>
              </c:pt>
              <c:pt idx="37">
                <c:v>311.61616161616161</c:v>
              </c:pt>
              <c:pt idx="38">
                <c:v>318.68686868686871</c:v>
              </c:pt>
              <c:pt idx="39">
                <c:v>325.75757575757575</c:v>
              </c:pt>
              <c:pt idx="40">
                <c:v>332.82828282828285</c:v>
              </c:pt>
              <c:pt idx="41">
                <c:v>339.8989898989899</c:v>
              </c:pt>
              <c:pt idx="42">
                <c:v>346.969696969697</c:v>
              </c:pt>
              <c:pt idx="43">
                <c:v>354.04040404040404</c:v>
              </c:pt>
              <c:pt idx="44">
                <c:v>361.11111111111114</c:v>
              </c:pt>
              <c:pt idx="45">
                <c:v>368.18181818181819</c:v>
              </c:pt>
              <c:pt idx="46">
                <c:v>375.25252525252529</c:v>
              </c:pt>
              <c:pt idx="47">
                <c:v>382.32323232323233</c:v>
              </c:pt>
              <c:pt idx="48">
                <c:v>389.39393939393938</c:v>
              </c:pt>
              <c:pt idx="49">
                <c:v>396.46464646464648</c:v>
              </c:pt>
              <c:pt idx="50">
                <c:v>403.53535353535352</c:v>
              </c:pt>
              <c:pt idx="51">
                <c:v>410.60606060606062</c:v>
              </c:pt>
              <c:pt idx="52">
                <c:v>417.67676767676767</c:v>
              </c:pt>
              <c:pt idx="53">
                <c:v>424.74747474747477</c:v>
              </c:pt>
              <c:pt idx="54">
                <c:v>431.81818181818181</c:v>
              </c:pt>
              <c:pt idx="55">
                <c:v>438.88888888888891</c:v>
              </c:pt>
              <c:pt idx="56">
                <c:v>445.95959595959596</c:v>
              </c:pt>
              <c:pt idx="57">
                <c:v>453.03030303030306</c:v>
              </c:pt>
              <c:pt idx="58">
                <c:v>460.1010101010101</c:v>
              </c:pt>
              <c:pt idx="59">
                <c:v>467.17171717171721</c:v>
              </c:pt>
              <c:pt idx="60">
                <c:v>474.24242424242425</c:v>
              </c:pt>
              <c:pt idx="61">
                <c:v>481.31313131313135</c:v>
              </c:pt>
              <c:pt idx="62">
                <c:v>488.38383838383839</c:v>
              </c:pt>
              <c:pt idx="63">
                <c:v>495.4545454545455</c:v>
              </c:pt>
              <c:pt idx="64">
                <c:v>502.52525252525254</c:v>
              </c:pt>
              <c:pt idx="65">
                <c:v>509.59595959595958</c:v>
              </c:pt>
              <c:pt idx="66">
                <c:v>516.66666666666663</c:v>
              </c:pt>
              <c:pt idx="67">
                <c:v>523.73737373737379</c:v>
              </c:pt>
              <c:pt idx="68">
                <c:v>530.80808080808083</c:v>
              </c:pt>
              <c:pt idx="69">
                <c:v>537.87878787878788</c:v>
              </c:pt>
              <c:pt idx="70">
                <c:v>544.94949494949492</c:v>
              </c:pt>
              <c:pt idx="71">
                <c:v>552.02020202020208</c:v>
              </c:pt>
              <c:pt idx="72">
                <c:v>559.09090909090912</c:v>
              </c:pt>
              <c:pt idx="73">
                <c:v>566.16161616161617</c:v>
              </c:pt>
              <c:pt idx="74">
                <c:v>573.23232323232321</c:v>
              </c:pt>
              <c:pt idx="75">
                <c:v>580.30303030303037</c:v>
              </c:pt>
              <c:pt idx="76">
                <c:v>587.37373737373741</c:v>
              </c:pt>
              <c:pt idx="77">
                <c:v>594.44444444444446</c:v>
              </c:pt>
              <c:pt idx="78">
                <c:v>601.5151515151515</c:v>
              </c:pt>
              <c:pt idx="79">
                <c:v>608.58585858585866</c:v>
              </c:pt>
              <c:pt idx="80">
                <c:v>615.6565656565657</c:v>
              </c:pt>
              <c:pt idx="81">
                <c:v>622.72727272727275</c:v>
              </c:pt>
              <c:pt idx="82">
                <c:v>629.79797979797979</c:v>
              </c:pt>
              <c:pt idx="83">
                <c:v>636.86868686868684</c:v>
              </c:pt>
              <c:pt idx="84">
                <c:v>643.93939393939399</c:v>
              </c:pt>
              <c:pt idx="85">
                <c:v>651.01010101010104</c:v>
              </c:pt>
              <c:pt idx="86">
                <c:v>658.08080808080808</c:v>
              </c:pt>
              <c:pt idx="87">
                <c:v>665.15151515151513</c:v>
              </c:pt>
              <c:pt idx="88">
                <c:v>672.22222222222229</c:v>
              </c:pt>
              <c:pt idx="89">
                <c:v>679.29292929292933</c:v>
              </c:pt>
              <c:pt idx="90">
                <c:v>686.36363636363637</c:v>
              </c:pt>
              <c:pt idx="91">
                <c:v>693.43434343434342</c:v>
              </c:pt>
              <c:pt idx="92">
                <c:v>700.50505050505058</c:v>
              </c:pt>
              <c:pt idx="93">
                <c:v>707.57575757575762</c:v>
              </c:pt>
              <c:pt idx="94">
                <c:v>714.64646464646466</c:v>
              </c:pt>
              <c:pt idx="95">
                <c:v>721.71717171717171</c:v>
              </c:pt>
              <c:pt idx="96">
                <c:v>728.78787878787875</c:v>
              </c:pt>
              <c:pt idx="97">
                <c:v>735.85858585858591</c:v>
              </c:pt>
              <c:pt idx="98">
                <c:v>742.92929292929296</c:v>
              </c:pt>
              <c:pt idx="99">
                <c:v>750</c:v>
              </c:pt>
            </c:numLit>
          </c:xVal>
          <c:yVal>
            <c:numLit>
              <c:formatCode>General</c:formatCode>
              <c:ptCount val="100"/>
              <c:pt idx="0">
                <c:v>152.85770656798434</c:v>
              </c:pt>
              <c:pt idx="1">
                <c:v>147.84069102527053</c:v>
              </c:pt>
              <c:pt idx="2">
                <c:v>144.07076340532055</c:v>
              </c:pt>
              <c:pt idx="3">
                <c:v>141.13486186536053</c:v>
              </c:pt>
              <c:pt idx="4">
                <c:v>138.78405322328859</c:v>
              </c:pt>
              <c:pt idx="5">
                <c:v>136.85943187398541</c:v>
              </c:pt>
              <c:pt idx="6">
                <c:v>135.25481979429972</c:v>
              </c:pt>
              <c:pt idx="7">
                <c:v>133.89658357252307</c:v>
              </c:pt>
              <c:pt idx="8">
                <c:v>132.73205888078425</c:v>
              </c:pt>
              <c:pt idx="9">
                <c:v>131.72258549889096</c:v>
              </c:pt>
              <c:pt idx="10">
                <c:v>130.83914451903044</c:v>
              </c:pt>
              <c:pt idx="11">
                <c:v>130.05953033765616</c:v>
              </c:pt>
              <c:pt idx="12">
                <c:v>129.36646259425839</c:v>
              </c:pt>
              <c:pt idx="13">
                <c:v>128.74629280672261</c:v>
              </c:pt>
              <c:pt idx="14">
                <c:v>128.18809812303405</c:v>
              </c:pt>
              <c:pt idx="15">
                <c:v>127.68303346521922</c:v>
              </c:pt>
              <c:pt idx="16">
                <c:v>127.22386003114977</c:v>
              </c:pt>
              <c:pt idx="17">
                <c:v>126.80459658756614</c:v>
              </c:pt>
              <c:pt idx="18">
                <c:v>126.42025780556588</c:v>
              </c:pt>
              <c:pt idx="19">
                <c:v>126.0666553073177</c:v>
              </c:pt>
              <c:pt idx="20">
                <c:v>125.74024456602913</c:v>
              </c:pt>
              <c:pt idx="21">
                <c:v>125.43800578799973</c:v>
              </c:pt>
              <c:pt idx="22">
                <c:v>125.15735029224564</c:v>
              </c:pt>
              <c:pt idx="23">
                <c:v>124.89604624047715</c:v>
              </c:pt>
              <c:pt idx="24">
                <c:v>124.65215920734936</c:v>
              </c:pt>
              <c:pt idx="25">
                <c:v>124.42400424340289</c:v>
              </c:pt>
              <c:pt idx="26">
                <c:v>124.21010691906974</c:v>
              </c:pt>
              <c:pt idx="27">
                <c:v>124.00917144636605</c:v>
              </c:pt>
              <c:pt idx="28">
                <c:v>123.8200544223092</c:v>
              </c:pt>
              <c:pt idx="29">
                <c:v>123.64174307058624</c:v>
              </c:pt>
              <c:pt idx="30">
                <c:v>123.47333710744779</c:v>
              </c:pt>
              <c:pt idx="31">
                <c:v>123.31403354662888</c:v>
              </c:pt>
              <c:pt idx="32">
                <c:v>123.16311390224182</c:v>
              </c:pt>
              <c:pt idx="33">
                <c:v>123.01993335949324</c:v>
              </c:pt>
              <c:pt idx="34">
                <c:v>122.88391156905013</c:v>
              </c:pt>
              <c:pt idx="35">
                <c:v>122.75452478799249</c:v>
              </c:pt>
              <c:pt idx="36">
                <c:v>122.63129914303441</c:v>
              </c:pt>
              <c:pt idx="37">
                <c:v>122.51380483340367</c:v>
              </c:pt>
              <c:pt idx="38">
                <c:v>122.40165112395555</c:v>
              </c:pt>
              <c:pt idx="39">
                <c:v>122.29448200564707</c:v>
              </c:pt>
              <c:pt idx="40">
                <c:v>122.1919724218567</c:v>
              </c:pt>
              <c:pt idx="41">
                <c:v>122.09382497630702</c:v>
              </c:pt>
              <c:pt idx="42">
                <c:v>121.99976705238041</c:v>
              </c:pt>
              <c:pt idx="43">
                <c:v>121.90954828507816</c:v>
              </c:pt>
              <c:pt idx="44">
                <c:v>121.82293833626792</c:v>
              </c:pt>
              <c:pt idx="45">
                <c:v>121.7397249316049</c:v>
              </c:pt>
              <c:pt idx="46">
                <c:v>121.65971212391067</c:v>
              </c:pt>
              <c:pt idx="47">
                <c:v>121.58271875310957</c:v>
              </c:pt>
              <c:pt idx="48">
                <c:v>121.50857707724823</c:v>
              </c:pt>
              <c:pt idx="49">
                <c:v>121.43713155283042</c:v>
              </c:pt>
              <c:pt idx="50">
                <c:v>121.36823774580648</c:v>
              </c:pt>
              <c:pt idx="51">
                <c:v>121.30176135717608</c:v>
              </c:pt>
              <c:pt idx="52">
                <c:v>121.23757734937438</c:v>
              </c:pt>
              <c:pt idx="53">
                <c:v>121.17556916148655</c:v>
              </c:pt>
              <c:pt idx="54">
                <c:v>121.11562800292958</c:v>
              </c:pt>
              <c:pt idx="55">
                <c:v>121.05765221659821</c:v>
              </c:pt>
              <c:pt idx="56">
                <c:v>121.00154670363442</c:v>
              </c:pt>
              <c:pt idx="57">
                <c:v>120.94722240297334</c:v>
              </c:pt>
              <c:pt idx="58">
                <c:v>120.89459581967651</c:v>
              </c:pt>
              <c:pt idx="59">
                <c:v>120.84358859679848</c:v>
              </c:pt>
              <c:pt idx="60">
                <c:v>120.79412712617075</c:v>
              </c:pt>
              <c:pt idx="61">
                <c:v>120.74614219403732</c:v>
              </c:pt>
              <c:pt idx="62">
                <c:v>120.69956865795466</c:v>
              </c:pt>
              <c:pt idx="63">
                <c:v>120.65434515178498</c:v>
              </c:pt>
              <c:pt idx="64">
                <c:v>120.61041381597356</c:v>
              </c:pt>
              <c:pt idx="65">
                <c:v>120.56772005061778</c:v>
              </c:pt>
              <c:pt idx="66">
                <c:v>120.52621228911197</c:v>
              </c:pt>
              <c:pt idx="67">
                <c:v>120.48584179039577</c:v>
              </c:pt>
              <c:pt idx="68">
                <c:v>120.44656244804588</c:v>
              </c:pt>
              <c:pt idx="69">
                <c:v>120.4083306146395</c:v>
              </c:pt>
              <c:pt idx="70">
                <c:v>120.37110493998303</c:v>
              </c:pt>
              <c:pt idx="71">
                <c:v>120.33484622194561</c:v>
              </c:pt>
              <c:pt idx="72">
                <c:v>120.29951726876628</c:v>
              </c:pt>
              <c:pt idx="73">
                <c:v>120.26508277181844</c:v>
              </c:pt>
              <c:pt idx="74">
                <c:v>120.23150918791639</c:v>
              </c:pt>
              <c:pt idx="75">
                <c:v>120.19876463033961</c:v>
              </c:pt>
              <c:pt idx="76">
                <c:v>120.16681876783053</c:v>
              </c:pt>
              <c:pt idx="77">
                <c:v>120.13564273089327</c:v>
              </c:pt>
              <c:pt idx="78">
                <c:v>120.10520902478515</c:v>
              </c:pt>
              <c:pt idx="79">
                <c:v>120.07549144864984</c:v>
              </c:pt>
              <c:pt idx="80">
                <c:v>120.04646502029206</c:v>
              </c:pt>
              <c:pt idx="81">
                <c:v>120.01810590614011</c:v>
              </c:pt>
              <c:pt idx="82">
                <c:v>119.99039135598369</c:v>
              </c:pt>
              <c:pt idx="83">
                <c:v>119.96329964211102</c:v>
              </c:pt>
              <c:pt idx="84">
                <c:v>119.93681000250372</c:v>
              </c:pt>
              <c:pt idx="85">
                <c:v>119.91090258777672</c:v>
              </c:pt>
              <c:pt idx="86">
                <c:v>119.88555841157863</c:v>
              </c:pt>
              <c:pt idx="87">
                <c:v>119.86075930419214</c:v>
              </c:pt>
              <c:pt idx="88">
                <c:v>119.83648786909599</c:v>
              </c:pt>
              <c:pt idx="89">
                <c:v>119.81272744227005</c:v>
              </c:pt>
              <c:pt idx="90">
                <c:v>119.78946205404434</c:v>
              </c:pt>
              <c:pt idx="91">
                <c:v>119.76667639330749</c:v>
              </c:pt>
              <c:pt idx="92">
                <c:v>119.74435577390653</c:v>
              </c:pt>
              <c:pt idx="93">
                <c:v>119.72248610308324</c:v>
              </c:pt>
              <c:pt idx="94">
                <c:v>119.70105385180398</c:v>
              </c:pt>
              <c:pt idx="95">
                <c:v>119.68004602685249</c:v>
              </c:pt>
              <c:pt idx="96">
                <c:v>119.65945014456389</c:v>
              </c:pt>
              <c:pt idx="97">
                <c:v>119.63925420608901</c:v>
              </c:pt>
              <c:pt idx="98">
                <c:v>119.61944667408549</c:v>
              </c:pt>
              <c:pt idx="99">
                <c:v>119.60001645074142</c:v>
              </c:pt>
            </c:numLit>
          </c:yVal>
          <c:smooth val="0"/>
          <c:extLst>
            <c:ext xmlns:c16="http://schemas.microsoft.com/office/drawing/2014/chart" uri="{C3380CC4-5D6E-409C-BE32-E72D297353CC}">
              <c16:uniqueId val="{00000000-D4CF-42F3-88F5-01324E7AE395}"/>
            </c:ext>
          </c:extLst>
        </c:ser>
        <c:dLbls>
          <c:showLegendKey val="0"/>
          <c:showVal val="0"/>
          <c:showCatName val="0"/>
          <c:showSerName val="0"/>
          <c:showPercent val="0"/>
          <c:showBubbleSize val="0"/>
        </c:dLbls>
        <c:axId val="619238144"/>
        <c:axId val="619252904"/>
      </c:scatterChart>
      <c:valAx>
        <c:axId val="61923814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Isc[s]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52904"/>
        <c:crosses val="autoZero"/>
        <c:crossBetween val="midCat"/>
      </c:valAx>
      <c:valAx>
        <c:axId val="61925290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Level [N]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3814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thrust to weight vs impulsive delta V</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thrust to weight vs impulsive delta V</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500"/>
              <c:pt idx="0">
                <c:v>1.0000000000000001E-5</c:v>
              </c:pt>
              <c:pt idx="1">
                <c:v>2.013987975951904E-3</c:v>
              </c:pt>
              <c:pt idx="2">
                <c:v>4.0179759519038075E-3</c:v>
              </c:pt>
              <c:pt idx="3">
                <c:v>6.0219639278557115E-3</c:v>
              </c:pt>
              <c:pt idx="4">
                <c:v>8.0259519038076155E-3</c:v>
              </c:pt>
              <c:pt idx="5">
                <c:v>1.002993987975952E-2</c:v>
              </c:pt>
              <c:pt idx="6">
                <c:v>1.2033927855711423E-2</c:v>
              </c:pt>
              <c:pt idx="7">
                <c:v>1.4037915831663328E-2</c:v>
              </c:pt>
              <c:pt idx="8">
                <c:v>1.6041903807615231E-2</c:v>
              </c:pt>
              <c:pt idx="9">
                <c:v>1.8045891783567136E-2</c:v>
              </c:pt>
              <c:pt idx="10">
                <c:v>2.0049879759519041E-2</c:v>
              </c:pt>
              <c:pt idx="11">
                <c:v>2.2053867735470942E-2</c:v>
              </c:pt>
              <c:pt idx="12">
                <c:v>2.4057855711422847E-2</c:v>
              </c:pt>
              <c:pt idx="13">
                <c:v>2.6061843687374752E-2</c:v>
              </c:pt>
              <c:pt idx="14">
                <c:v>2.8065831663326657E-2</c:v>
              </c:pt>
              <c:pt idx="15">
                <c:v>3.0069819639278558E-2</c:v>
              </c:pt>
              <c:pt idx="16">
                <c:v>3.2073807615230467E-2</c:v>
              </c:pt>
              <c:pt idx="17">
                <c:v>3.4077795591182368E-2</c:v>
              </c:pt>
              <c:pt idx="18">
                <c:v>3.6081783567134269E-2</c:v>
              </c:pt>
              <c:pt idx="19">
                <c:v>3.8085771543086178E-2</c:v>
              </c:pt>
              <c:pt idx="20">
                <c:v>4.0089759519038079E-2</c:v>
              </c:pt>
              <c:pt idx="21">
                <c:v>4.209374749498998E-2</c:v>
              </c:pt>
              <c:pt idx="22">
                <c:v>4.4097735470941889E-2</c:v>
              </c:pt>
              <c:pt idx="23">
                <c:v>4.610172344689379E-2</c:v>
              </c:pt>
              <c:pt idx="24">
                <c:v>4.8105711422845698E-2</c:v>
              </c:pt>
              <c:pt idx="25">
                <c:v>5.01096993987976E-2</c:v>
              </c:pt>
              <c:pt idx="26">
                <c:v>5.2113687374749501E-2</c:v>
              </c:pt>
              <c:pt idx="27">
                <c:v>5.4117675350701409E-2</c:v>
              </c:pt>
              <c:pt idx="28">
                <c:v>5.6121663326653311E-2</c:v>
              </c:pt>
              <c:pt idx="29">
                <c:v>5.8125651302605212E-2</c:v>
              </c:pt>
              <c:pt idx="30">
                <c:v>6.012963927855712E-2</c:v>
              </c:pt>
              <c:pt idx="31">
                <c:v>6.2133627254509022E-2</c:v>
              </c:pt>
              <c:pt idx="32">
                <c:v>6.4137615230460923E-2</c:v>
              </c:pt>
              <c:pt idx="33">
                <c:v>6.6141603206412825E-2</c:v>
              </c:pt>
              <c:pt idx="34">
                <c:v>6.814559118236474E-2</c:v>
              </c:pt>
              <c:pt idx="35">
                <c:v>7.0149579158316641E-2</c:v>
              </c:pt>
              <c:pt idx="36">
                <c:v>7.2153567134268543E-2</c:v>
              </c:pt>
              <c:pt idx="37">
                <c:v>7.4157555110220444E-2</c:v>
              </c:pt>
              <c:pt idx="38">
                <c:v>7.6161543086172345E-2</c:v>
              </c:pt>
              <c:pt idx="39">
                <c:v>7.816553106212426E-2</c:v>
              </c:pt>
              <c:pt idx="40">
                <c:v>8.0169519038076162E-2</c:v>
              </c:pt>
              <c:pt idx="41">
                <c:v>8.2173507014028063E-2</c:v>
              </c:pt>
              <c:pt idx="42">
                <c:v>8.4177494989979965E-2</c:v>
              </c:pt>
              <c:pt idx="43">
                <c:v>8.6181482965931866E-2</c:v>
              </c:pt>
              <c:pt idx="44">
                <c:v>8.8185470941883781E-2</c:v>
              </c:pt>
              <c:pt idx="45">
                <c:v>9.0189458917835683E-2</c:v>
              </c:pt>
              <c:pt idx="46">
                <c:v>9.2193446893787584E-2</c:v>
              </c:pt>
              <c:pt idx="47">
                <c:v>9.4197434869739485E-2</c:v>
              </c:pt>
              <c:pt idx="48">
                <c:v>9.6201422845691387E-2</c:v>
              </c:pt>
              <c:pt idx="49">
                <c:v>9.8205410821643288E-2</c:v>
              </c:pt>
              <c:pt idx="50">
                <c:v>0.1002093987975952</c:v>
              </c:pt>
              <c:pt idx="51">
                <c:v>0.1022133867735471</c:v>
              </c:pt>
              <c:pt idx="52">
                <c:v>0.10421737474949901</c:v>
              </c:pt>
              <c:pt idx="53">
                <c:v>0.10622136272545091</c:v>
              </c:pt>
              <c:pt idx="54">
                <c:v>0.10822535070140281</c:v>
              </c:pt>
              <c:pt idx="55">
                <c:v>0.11022933867735472</c:v>
              </c:pt>
              <c:pt idx="56">
                <c:v>0.11223332665330663</c:v>
              </c:pt>
              <c:pt idx="57">
                <c:v>0.11423731462925853</c:v>
              </c:pt>
              <c:pt idx="58">
                <c:v>0.11624130260521043</c:v>
              </c:pt>
              <c:pt idx="59">
                <c:v>0.11824529058116233</c:v>
              </c:pt>
              <c:pt idx="60">
                <c:v>0.12024927855711424</c:v>
              </c:pt>
              <c:pt idx="61">
                <c:v>0.12225326653306615</c:v>
              </c:pt>
              <c:pt idx="62">
                <c:v>0.12425725450901805</c:v>
              </c:pt>
              <c:pt idx="63">
                <c:v>0.12626124248496995</c:v>
              </c:pt>
              <c:pt idx="64">
                <c:v>0.12826523046092186</c:v>
              </c:pt>
              <c:pt idx="65">
                <c:v>0.13026921843687375</c:v>
              </c:pt>
              <c:pt idx="66">
                <c:v>0.13227320641282567</c:v>
              </c:pt>
              <c:pt idx="67">
                <c:v>0.13427719438877755</c:v>
              </c:pt>
              <c:pt idx="68">
                <c:v>0.13628118236472947</c:v>
              </c:pt>
              <c:pt idx="69">
                <c:v>0.13828517034068138</c:v>
              </c:pt>
              <c:pt idx="70">
                <c:v>0.14028915831663327</c:v>
              </c:pt>
              <c:pt idx="71">
                <c:v>0.14229314629258519</c:v>
              </c:pt>
              <c:pt idx="72">
                <c:v>0.14429713426853708</c:v>
              </c:pt>
              <c:pt idx="73">
                <c:v>0.14630112224448899</c:v>
              </c:pt>
              <c:pt idx="74">
                <c:v>0.14830511022044091</c:v>
              </c:pt>
              <c:pt idx="75">
                <c:v>0.15030909819639279</c:v>
              </c:pt>
              <c:pt idx="76">
                <c:v>0.15231308617234471</c:v>
              </c:pt>
              <c:pt idx="77">
                <c:v>0.1543170741482966</c:v>
              </c:pt>
              <c:pt idx="78">
                <c:v>0.15632106212424851</c:v>
              </c:pt>
              <c:pt idx="79">
                <c:v>0.15832505010020043</c:v>
              </c:pt>
              <c:pt idx="80">
                <c:v>0.16032903807615231</c:v>
              </c:pt>
              <c:pt idx="81">
                <c:v>0.16233302605210423</c:v>
              </c:pt>
              <c:pt idx="82">
                <c:v>0.16433701402805612</c:v>
              </c:pt>
              <c:pt idx="83">
                <c:v>0.16634100200400803</c:v>
              </c:pt>
              <c:pt idx="84">
                <c:v>0.16834498997995995</c:v>
              </c:pt>
              <c:pt idx="85">
                <c:v>0.17034897795591183</c:v>
              </c:pt>
              <c:pt idx="86">
                <c:v>0.17235296593186375</c:v>
              </c:pt>
              <c:pt idx="87">
                <c:v>0.17435695390781564</c:v>
              </c:pt>
              <c:pt idx="88">
                <c:v>0.17636094188376755</c:v>
              </c:pt>
              <c:pt idx="89">
                <c:v>0.17836492985971944</c:v>
              </c:pt>
              <c:pt idx="90">
                <c:v>0.18036891783567136</c:v>
              </c:pt>
              <c:pt idx="91">
                <c:v>0.18237290581162327</c:v>
              </c:pt>
              <c:pt idx="92">
                <c:v>0.18437689378757516</c:v>
              </c:pt>
              <c:pt idx="93">
                <c:v>0.18638088176352707</c:v>
              </c:pt>
              <c:pt idx="94">
                <c:v>0.18838486973947896</c:v>
              </c:pt>
              <c:pt idx="95">
                <c:v>0.19038885771543088</c:v>
              </c:pt>
              <c:pt idx="96">
                <c:v>0.19239284569138279</c:v>
              </c:pt>
              <c:pt idx="97">
                <c:v>0.19439683366733468</c:v>
              </c:pt>
              <c:pt idx="98">
                <c:v>0.19640082164328659</c:v>
              </c:pt>
              <c:pt idx="99">
                <c:v>0.19840480961923848</c:v>
              </c:pt>
              <c:pt idx="100">
                <c:v>0.2004087975951904</c:v>
              </c:pt>
              <c:pt idx="101">
                <c:v>0.20241278557114231</c:v>
              </c:pt>
              <c:pt idx="102">
                <c:v>0.2044167735470942</c:v>
              </c:pt>
              <c:pt idx="103">
                <c:v>0.20642076152304611</c:v>
              </c:pt>
              <c:pt idx="104">
                <c:v>0.208424749498998</c:v>
              </c:pt>
              <c:pt idx="105">
                <c:v>0.21042873747494992</c:v>
              </c:pt>
              <c:pt idx="106">
                <c:v>0.21243272545090183</c:v>
              </c:pt>
              <c:pt idx="107">
                <c:v>0.21443671342685372</c:v>
              </c:pt>
              <c:pt idx="108">
                <c:v>0.21644070140280564</c:v>
              </c:pt>
              <c:pt idx="109">
                <c:v>0.21844468937875752</c:v>
              </c:pt>
              <c:pt idx="110">
                <c:v>0.22044867735470944</c:v>
              </c:pt>
              <c:pt idx="111">
                <c:v>0.22245266533066135</c:v>
              </c:pt>
              <c:pt idx="112">
                <c:v>0.22445665330661324</c:v>
              </c:pt>
              <c:pt idx="113">
                <c:v>0.22646064128256516</c:v>
              </c:pt>
              <c:pt idx="114">
                <c:v>0.22846462925851704</c:v>
              </c:pt>
              <c:pt idx="115">
                <c:v>0.23046861723446896</c:v>
              </c:pt>
              <c:pt idx="116">
                <c:v>0.23247260521042087</c:v>
              </c:pt>
              <c:pt idx="117">
                <c:v>0.23447659318637276</c:v>
              </c:pt>
              <c:pt idx="118">
                <c:v>0.23648058116232468</c:v>
              </c:pt>
              <c:pt idx="119">
                <c:v>0.23848456913827656</c:v>
              </c:pt>
              <c:pt idx="120">
                <c:v>0.24048855711422848</c:v>
              </c:pt>
              <c:pt idx="121">
                <c:v>0.24249254509018037</c:v>
              </c:pt>
              <c:pt idx="122">
                <c:v>0.24449653306613228</c:v>
              </c:pt>
              <c:pt idx="123">
                <c:v>0.2465005210420842</c:v>
              </c:pt>
              <c:pt idx="124">
                <c:v>0.24850450901803608</c:v>
              </c:pt>
              <c:pt idx="125">
                <c:v>0.25050849699398797</c:v>
              </c:pt>
              <c:pt idx="126">
                <c:v>0.25251248496993989</c:v>
              </c:pt>
              <c:pt idx="127">
                <c:v>0.2545164729458918</c:v>
              </c:pt>
              <c:pt idx="128">
                <c:v>0.25652046092184372</c:v>
              </c:pt>
              <c:pt idx="129">
                <c:v>0.25852444889779563</c:v>
              </c:pt>
              <c:pt idx="130">
                <c:v>0.26052843687374749</c:v>
              </c:pt>
              <c:pt idx="131">
                <c:v>0.26253242484969941</c:v>
              </c:pt>
              <c:pt idx="132">
                <c:v>0.26453641282565132</c:v>
              </c:pt>
              <c:pt idx="133">
                <c:v>0.26654040080160324</c:v>
              </c:pt>
              <c:pt idx="134">
                <c:v>0.26854438877755515</c:v>
              </c:pt>
              <c:pt idx="135">
                <c:v>0.27054837675350701</c:v>
              </c:pt>
              <c:pt idx="136">
                <c:v>0.27255236472945893</c:v>
              </c:pt>
              <c:pt idx="137">
                <c:v>0.27455635270541084</c:v>
              </c:pt>
              <c:pt idx="138">
                <c:v>0.27656034068136276</c:v>
              </c:pt>
              <c:pt idx="139">
                <c:v>0.27856432865731467</c:v>
              </c:pt>
              <c:pt idx="140">
                <c:v>0.28056831663326653</c:v>
              </c:pt>
              <c:pt idx="141">
                <c:v>0.28257230460921845</c:v>
              </c:pt>
              <c:pt idx="142">
                <c:v>0.28457629258517037</c:v>
              </c:pt>
              <c:pt idx="143">
                <c:v>0.28658028056112228</c:v>
              </c:pt>
              <c:pt idx="144">
                <c:v>0.2885842685370742</c:v>
              </c:pt>
              <c:pt idx="145">
                <c:v>0.29058825651302606</c:v>
              </c:pt>
              <c:pt idx="146">
                <c:v>0.29259224448897797</c:v>
              </c:pt>
              <c:pt idx="147">
                <c:v>0.29459623246492989</c:v>
              </c:pt>
              <c:pt idx="148">
                <c:v>0.2966002204408818</c:v>
              </c:pt>
              <c:pt idx="149">
                <c:v>0.29860420841683372</c:v>
              </c:pt>
              <c:pt idx="150">
                <c:v>0.30060819639278558</c:v>
              </c:pt>
              <c:pt idx="151">
                <c:v>0.30261218436873749</c:v>
              </c:pt>
              <c:pt idx="152">
                <c:v>0.30461617234468941</c:v>
              </c:pt>
              <c:pt idx="153">
                <c:v>0.30662016032064132</c:v>
              </c:pt>
              <c:pt idx="154">
                <c:v>0.30862414829659324</c:v>
              </c:pt>
              <c:pt idx="155">
                <c:v>0.3106281362725451</c:v>
              </c:pt>
              <c:pt idx="156">
                <c:v>0.31263212424849701</c:v>
              </c:pt>
              <c:pt idx="157">
                <c:v>0.31463611222444893</c:v>
              </c:pt>
              <c:pt idx="158">
                <c:v>0.31664010020040084</c:v>
              </c:pt>
              <c:pt idx="159">
                <c:v>0.31864408817635276</c:v>
              </c:pt>
              <c:pt idx="160">
                <c:v>0.32064807615230462</c:v>
              </c:pt>
              <c:pt idx="161">
                <c:v>0.32265206412825653</c:v>
              </c:pt>
              <c:pt idx="162">
                <c:v>0.32465605210420845</c:v>
              </c:pt>
              <c:pt idx="163">
                <c:v>0.32666004008016036</c:v>
              </c:pt>
              <c:pt idx="164">
                <c:v>0.32866402805611228</c:v>
              </c:pt>
              <c:pt idx="165">
                <c:v>0.33066801603206414</c:v>
              </c:pt>
              <c:pt idx="166">
                <c:v>0.33267200400801605</c:v>
              </c:pt>
              <c:pt idx="167">
                <c:v>0.33467599198396797</c:v>
              </c:pt>
              <c:pt idx="168">
                <c:v>0.33667997995991988</c:v>
              </c:pt>
              <c:pt idx="169">
                <c:v>0.33868396793587174</c:v>
              </c:pt>
              <c:pt idx="170">
                <c:v>0.34068795591182366</c:v>
              </c:pt>
              <c:pt idx="171">
                <c:v>0.34269194388777557</c:v>
              </c:pt>
              <c:pt idx="172">
                <c:v>0.34469593186372749</c:v>
              </c:pt>
              <c:pt idx="173">
                <c:v>0.3466999198396794</c:v>
              </c:pt>
              <c:pt idx="174">
                <c:v>0.34870390781563126</c:v>
              </c:pt>
              <c:pt idx="175">
                <c:v>0.35070789579158318</c:v>
              </c:pt>
              <c:pt idx="176">
                <c:v>0.35271188376753509</c:v>
              </c:pt>
              <c:pt idx="177">
                <c:v>0.35471587174348701</c:v>
              </c:pt>
              <c:pt idx="178">
                <c:v>0.35671985971943893</c:v>
              </c:pt>
              <c:pt idx="179">
                <c:v>0.35872384769539079</c:v>
              </c:pt>
              <c:pt idx="180">
                <c:v>0.3607278356713427</c:v>
              </c:pt>
              <c:pt idx="181">
                <c:v>0.36273182364729462</c:v>
              </c:pt>
              <c:pt idx="182">
                <c:v>0.36473581162324653</c:v>
              </c:pt>
              <c:pt idx="183">
                <c:v>0.36673979959919845</c:v>
              </c:pt>
              <c:pt idx="184">
                <c:v>0.36874378757515031</c:v>
              </c:pt>
              <c:pt idx="185">
                <c:v>0.37074777555110222</c:v>
              </c:pt>
              <c:pt idx="186">
                <c:v>0.37275176352705414</c:v>
              </c:pt>
              <c:pt idx="187">
                <c:v>0.37475575150300605</c:v>
              </c:pt>
              <c:pt idx="188">
                <c:v>0.37675973947895797</c:v>
              </c:pt>
              <c:pt idx="189">
                <c:v>0.37876372745490983</c:v>
              </c:pt>
              <c:pt idx="190">
                <c:v>0.38076771543086174</c:v>
              </c:pt>
              <c:pt idx="191">
                <c:v>0.38277170340681366</c:v>
              </c:pt>
              <c:pt idx="192">
                <c:v>0.38477569138276557</c:v>
              </c:pt>
              <c:pt idx="193">
                <c:v>0.38677967935871749</c:v>
              </c:pt>
              <c:pt idx="194">
                <c:v>0.38878366733466935</c:v>
              </c:pt>
              <c:pt idx="195">
                <c:v>0.39078765531062126</c:v>
              </c:pt>
              <c:pt idx="196">
                <c:v>0.39279164328657318</c:v>
              </c:pt>
              <c:pt idx="197">
                <c:v>0.39479563126252509</c:v>
              </c:pt>
              <c:pt idx="198">
                <c:v>0.39679961923847701</c:v>
              </c:pt>
              <c:pt idx="199">
                <c:v>0.39880360721442887</c:v>
              </c:pt>
              <c:pt idx="200">
                <c:v>0.40080759519038078</c:v>
              </c:pt>
              <c:pt idx="201">
                <c:v>0.4028115831663327</c:v>
              </c:pt>
              <c:pt idx="202">
                <c:v>0.40481557114228461</c:v>
              </c:pt>
              <c:pt idx="203">
                <c:v>0.40681955911823653</c:v>
              </c:pt>
              <c:pt idx="204">
                <c:v>0.40882354709418839</c:v>
              </c:pt>
              <c:pt idx="205">
                <c:v>0.4108275350701403</c:v>
              </c:pt>
              <c:pt idx="206">
                <c:v>0.41283152304609222</c:v>
              </c:pt>
              <c:pt idx="207">
                <c:v>0.41483551102204413</c:v>
              </c:pt>
              <c:pt idx="208">
                <c:v>0.41683949899799605</c:v>
              </c:pt>
              <c:pt idx="209">
                <c:v>0.41884348697394791</c:v>
              </c:pt>
              <c:pt idx="210">
                <c:v>0.42084747494989982</c:v>
              </c:pt>
              <c:pt idx="211">
                <c:v>0.42285146292585174</c:v>
              </c:pt>
              <c:pt idx="212">
                <c:v>0.42485545090180366</c:v>
              </c:pt>
              <c:pt idx="213">
                <c:v>0.42685943887775557</c:v>
              </c:pt>
              <c:pt idx="214">
                <c:v>0.42886342685370743</c:v>
              </c:pt>
              <c:pt idx="215">
                <c:v>0.43086741482965935</c:v>
              </c:pt>
              <c:pt idx="216">
                <c:v>0.43287140280561126</c:v>
              </c:pt>
              <c:pt idx="217">
                <c:v>0.43487539078156318</c:v>
              </c:pt>
              <c:pt idx="218">
                <c:v>0.43687937875751509</c:v>
              </c:pt>
              <c:pt idx="219">
                <c:v>0.43888336673346695</c:v>
              </c:pt>
              <c:pt idx="220">
                <c:v>0.44088735470941887</c:v>
              </c:pt>
              <c:pt idx="221">
                <c:v>0.44289134268537078</c:v>
              </c:pt>
              <c:pt idx="222">
                <c:v>0.4448953306613227</c:v>
              </c:pt>
              <c:pt idx="223">
                <c:v>0.44689931863727461</c:v>
              </c:pt>
              <c:pt idx="224">
                <c:v>0.44890330661322647</c:v>
              </c:pt>
              <c:pt idx="225">
                <c:v>0.45090729458917839</c:v>
              </c:pt>
              <c:pt idx="226">
                <c:v>0.4529112825651303</c:v>
              </c:pt>
              <c:pt idx="227">
                <c:v>0.45491527054108222</c:v>
              </c:pt>
              <c:pt idx="228">
                <c:v>0.45691925851703413</c:v>
              </c:pt>
              <c:pt idx="229">
                <c:v>0.45892324649298599</c:v>
              </c:pt>
              <c:pt idx="230">
                <c:v>0.46092723446893791</c:v>
              </c:pt>
              <c:pt idx="231">
                <c:v>0.46293122244488982</c:v>
              </c:pt>
              <c:pt idx="232">
                <c:v>0.46493521042084174</c:v>
              </c:pt>
              <c:pt idx="233">
                <c:v>0.4669391983967936</c:v>
              </c:pt>
              <c:pt idx="234">
                <c:v>0.46894318637274551</c:v>
              </c:pt>
              <c:pt idx="235">
                <c:v>0.47094717434869743</c:v>
              </c:pt>
              <c:pt idx="236">
                <c:v>0.47295116232464934</c:v>
              </c:pt>
              <c:pt idx="237">
                <c:v>0.47495515030060126</c:v>
              </c:pt>
              <c:pt idx="238">
                <c:v>0.47695913827655312</c:v>
              </c:pt>
              <c:pt idx="239">
                <c:v>0.47896312625250503</c:v>
              </c:pt>
              <c:pt idx="240">
                <c:v>0.48096711422845695</c:v>
              </c:pt>
              <c:pt idx="241">
                <c:v>0.48297110220440886</c:v>
              </c:pt>
              <c:pt idx="242">
                <c:v>0.48497509018036078</c:v>
              </c:pt>
              <c:pt idx="243">
                <c:v>0.48697907815631264</c:v>
              </c:pt>
              <c:pt idx="244">
                <c:v>0.48898306613226455</c:v>
              </c:pt>
              <c:pt idx="245">
                <c:v>0.49098705410821647</c:v>
              </c:pt>
              <c:pt idx="246">
                <c:v>0.49299104208416838</c:v>
              </c:pt>
              <c:pt idx="247">
                <c:v>0.4949950300601203</c:v>
              </c:pt>
              <c:pt idx="248">
                <c:v>0.49699901803607216</c:v>
              </c:pt>
              <c:pt idx="249">
                <c:v>0.49900300601202408</c:v>
              </c:pt>
              <c:pt idx="250">
                <c:v>0.50100699398797599</c:v>
              </c:pt>
              <c:pt idx="251">
                <c:v>0.50301098196392791</c:v>
              </c:pt>
              <c:pt idx="252">
                <c:v>0.50501496993987982</c:v>
              </c:pt>
              <c:pt idx="253">
                <c:v>0.50701895791583174</c:v>
              </c:pt>
              <c:pt idx="254">
                <c:v>0.50902294589178365</c:v>
              </c:pt>
              <c:pt idx="255">
                <c:v>0.51102693386773557</c:v>
              </c:pt>
              <c:pt idx="256">
                <c:v>0.51303092184368737</c:v>
              </c:pt>
              <c:pt idx="257">
                <c:v>0.51503490981963929</c:v>
              </c:pt>
              <c:pt idx="258">
                <c:v>0.5170388977955912</c:v>
              </c:pt>
              <c:pt idx="259">
                <c:v>0.51904288577154312</c:v>
              </c:pt>
              <c:pt idx="260">
                <c:v>0.52104687374749503</c:v>
              </c:pt>
              <c:pt idx="261">
                <c:v>0.52305086172344695</c:v>
              </c:pt>
              <c:pt idx="262">
                <c:v>0.52505484969939886</c:v>
              </c:pt>
              <c:pt idx="263">
                <c:v>0.52705883767535078</c:v>
              </c:pt>
              <c:pt idx="264">
                <c:v>0.52906282565130269</c:v>
              </c:pt>
              <c:pt idx="265">
                <c:v>0.5310668136272545</c:v>
              </c:pt>
              <c:pt idx="266">
                <c:v>0.53307080160320641</c:v>
              </c:pt>
              <c:pt idx="267">
                <c:v>0.53507478957915833</c:v>
              </c:pt>
              <c:pt idx="268">
                <c:v>0.53707877755511024</c:v>
              </c:pt>
              <c:pt idx="269">
                <c:v>0.53908276553106216</c:v>
              </c:pt>
              <c:pt idx="270">
                <c:v>0.54108675350701407</c:v>
              </c:pt>
              <c:pt idx="271">
                <c:v>0.54309074148296599</c:v>
              </c:pt>
              <c:pt idx="272">
                <c:v>0.5450947294589179</c:v>
              </c:pt>
              <c:pt idx="273">
                <c:v>0.54709871743486982</c:v>
              </c:pt>
              <c:pt idx="274">
                <c:v>0.54910270541082173</c:v>
              </c:pt>
              <c:pt idx="275">
                <c:v>0.55110669338677354</c:v>
              </c:pt>
              <c:pt idx="276">
                <c:v>0.55311068136272545</c:v>
              </c:pt>
              <c:pt idx="277">
                <c:v>0.55511466933867737</c:v>
              </c:pt>
              <c:pt idx="278">
                <c:v>0.55711865731462928</c:v>
              </c:pt>
              <c:pt idx="279">
                <c:v>0.5591226452905812</c:v>
              </c:pt>
              <c:pt idx="280">
                <c:v>0.56112663326653311</c:v>
              </c:pt>
              <c:pt idx="281">
                <c:v>0.56313062124248503</c:v>
              </c:pt>
              <c:pt idx="282">
                <c:v>0.56513460921843695</c:v>
              </c:pt>
              <c:pt idx="283">
                <c:v>0.56713859719438886</c:v>
              </c:pt>
              <c:pt idx="284">
                <c:v>0.56914258517034078</c:v>
              </c:pt>
              <c:pt idx="285">
                <c:v>0.57114657314629258</c:v>
              </c:pt>
              <c:pt idx="286">
                <c:v>0.5731505611222445</c:v>
              </c:pt>
              <c:pt idx="287">
                <c:v>0.57515454909819641</c:v>
              </c:pt>
              <c:pt idx="288">
                <c:v>0.57715853707414833</c:v>
              </c:pt>
              <c:pt idx="289">
                <c:v>0.57916252505010024</c:v>
              </c:pt>
              <c:pt idx="290">
                <c:v>0.58116651302605216</c:v>
              </c:pt>
              <c:pt idx="291">
                <c:v>0.58317050100200407</c:v>
              </c:pt>
              <c:pt idx="292">
                <c:v>0.58517448897795599</c:v>
              </c:pt>
              <c:pt idx="293">
                <c:v>0.5871784769539079</c:v>
              </c:pt>
              <c:pt idx="294">
                <c:v>0.58918246492985982</c:v>
              </c:pt>
              <c:pt idx="295">
                <c:v>0.59118645290581162</c:v>
              </c:pt>
              <c:pt idx="296">
                <c:v>0.59319044088176354</c:v>
              </c:pt>
              <c:pt idx="297">
                <c:v>0.59519442885771545</c:v>
              </c:pt>
              <c:pt idx="298">
                <c:v>0.59719841683366737</c:v>
              </c:pt>
              <c:pt idx="299">
                <c:v>0.59920240480961928</c:v>
              </c:pt>
              <c:pt idx="300">
                <c:v>0.6012063927855712</c:v>
              </c:pt>
              <c:pt idx="301">
                <c:v>0.60321038076152311</c:v>
              </c:pt>
              <c:pt idx="302">
                <c:v>0.60521436873747503</c:v>
              </c:pt>
              <c:pt idx="303">
                <c:v>0.60721835671342694</c:v>
              </c:pt>
              <c:pt idx="304">
                <c:v>0.60922234468937886</c:v>
              </c:pt>
              <c:pt idx="305">
                <c:v>0.61122633266533066</c:v>
              </c:pt>
              <c:pt idx="306">
                <c:v>0.61323032064128258</c:v>
              </c:pt>
              <c:pt idx="307">
                <c:v>0.61523430861723449</c:v>
              </c:pt>
              <c:pt idx="308">
                <c:v>0.61723829659318641</c:v>
              </c:pt>
              <c:pt idx="309">
                <c:v>0.61924228456913832</c:v>
              </c:pt>
              <c:pt idx="310">
                <c:v>0.62124627254509024</c:v>
              </c:pt>
              <c:pt idx="311">
                <c:v>0.62325026052104215</c:v>
              </c:pt>
              <c:pt idx="312">
                <c:v>0.62525424849699407</c:v>
              </c:pt>
              <c:pt idx="313">
                <c:v>0.62725823647294598</c:v>
              </c:pt>
              <c:pt idx="314">
                <c:v>0.6292622244488979</c:v>
              </c:pt>
              <c:pt idx="315">
                <c:v>0.6312662124248497</c:v>
              </c:pt>
              <c:pt idx="316">
                <c:v>0.63327020040080162</c:v>
              </c:pt>
              <c:pt idx="317">
                <c:v>0.63527418837675353</c:v>
              </c:pt>
              <c:pt idx="318">
                <c:v>0.63727817635270545</c:v>
              </c:pt>
              <c:pt idx="319">
                <c:v>0.63928216432865737</c:v>
              </c:pt>
              <c:pt idx="320">
                <c:v>0.64128615230460928</c:v>
              </c:pt>
              <c:pt idx="321">
                <c:v>0.6432901402805612</c:v>
              </c:pt>
              <c:pt idx="322">
                <c:v>0.64529412825651311</c:v>
              </c:pt>
              <c:pt idx="323">
                <c:v>0.64729811623246503</c:v>
              </c:pt>
              <c:pt idx="324">
                <c:v>0.64930210420841694</c:v>
              </c:pt>
              <c:pt idx="325">
                <c:v>0.65130609218436875</c:v>
              </c:pt>
              <c:pt idx="326">
                <c:v>0.65331008016032066</c:v>
              </c:pt>
              <c:pt idx="327">
                <c:v>0.65531406813627258</c:v>
              </c:pt>
              <c:pt idx="328">
                <c:v>0.65731805611222449</c:v>
              </c:pt>
              <c:pt idx="329">
                <c:v>0.65932204408817641</c:v>
              </c:pt>
              <c:pt idx="330">
                <c:v>0.66132603206412832</c:v>
              </c:pt>
              <c:pt idx="331">
                <c:v>0.66333002004008024</c:v>
              </c:pt>
              <c:pt idx="332">
                <c:v>0.66533400801603215</c:v>
              </c:pt>
              <c:pt idx="333">
                <c:v>0.66733799599198407</c:v>
              </c:pt>
              <c:pt idx="334">
                <c:v>0.66934198396793587</c:v>
              </c:pt>
              <c:pt idx="335">
                <c:v>0.67134597194388779</c:v>
              </c:pt>
              <c:pt idx="336">
                <c:v>0.6733499599198397</c:v>
              </c:pt>
              <c:pt idx="337">
                <c:v>0.67535394789579162</c:v>
              </c:pt>
              <c:pt idx="338">
                <c:v>0.67735793587174353</c:v>
              </c:pt>
              <c:pt idx="339">
                <c:v>0.67936192384769545</c:v>
              </c:pt>
              <c:pt idx="340">
                <c:v>0.68136591182364736</c:v>
              </c:pt>
              <c:pt idx="341">
                <c:v>0.68336989979959928</c:v>
              </c:pt>
              <c:pt idx="342">
                <c:v>0.68537388777555119</c:v>
              </c:pt>
              <c:pt idx="343">
                <c:v>0.68737787575150311</c:v>
              </c:pt>
              <c:pt idx="344">
                <c:v>0.68938186372745491</c:v>
              </c:pt>
              <c:pt idx="345">
                <c:v>0.69138585170340683</c:v>
              </c:pt>
              <c:pt idx="346">
                <c:v>0.69338983967935874</c:v>
              </c:pt>
              <c:pt idx="347">
                <c:v>0.69539382765531066</c:v>
              </c:pt>
              <c:pt idx="348">
                <c:v>0.69739781563126257</c:v>
              </c:pt>
              <c:pt idx="349">
                <c:v>0.69940180360721449</c:v>
              </c:pt>
              <c:pt idx="350">
                <c:v>0.7014057915831664</c:v>
              </c:pt>
              <c:pt idx="351">
                <c:v>0.70340977955911832</c:v>
              </c:pt>
              <c:pt idx="352">
                <c:v>0.70541376753507024</c:v>
              </c:pt>
              <c:pt idx="353">
                <c:v>0.70741775551102215</c:v>
              </c:pt>
              <c:pt idx="354">
                <c:v>0.70942174348697395</c:v>
              </c:pt>
              <c:pt idx="355">
                <c:v>0.71142573146292587</c:v>
              </c:pt>
              <c:pt idx="356">
                <c:v>0.71342971943887779</c:v>
              </c:pt>
              <c:pt idx="357">
                <c:v>0.7154337074148297</c:v>
              </c:pt>
              <c:pt idx="358">
                <c:v>0.71743769539078162</c:v>
              </c:pt>
              <c:pt idx="359">
                <c:v>0.71944168336673353</c:v>
              </c:pt>
              <c:pt idx="360">
                <c:v>0.72144567134268545</c:v>
              </c:pt>
              <c:pt idx="361">
                <c:v>0.72344965931863736</c:v>
              </c:pt>
              <c:pt idx="362">
                <c:v>0.72545364729458928</c:v>
              </c:pt>
              <c:pt idx="363">
                <c:v>0.72745763527054119</c:v>
              </c:pt>
              <c:pt idx="364">
                <c:v>0.729461623246493</c:v>
              </c:pt>
              <c:pt idx="365">
                <c:v>0.73146561122244491</c:v>
              </c:pt>
              <c:pt idx="366">
                <c:v>0.73346959919839683</c:v>
              </c:pt>
              <c:pt idx="367">
                <c:v>0.73547358717434874</c:v>
              </c:pt>
              <c:pt idx="368">
                <c:v>0.73747757515030066</c:v>
              </c:pt>
              <c:pt idx="369">
                <c:v>0.73948156312625257</c:v>
              </c:pt>
              <c:pt idx="370">
                <c:v>0.74148555110220449</c:v>
              </c:pt>
              <c:pt idx="371">
                <c:v>0.7434895390781564</c:v>
              </c:pt>
              <c:pt idx="372">
                <c:v>0.74549352705410832</c:v>
              </c:pt>
              <c:pt idx="373">
                <c:v>0.74749751503006023</c:v>
              </c:pt>
              <c:pt idx="374">
                <c:v>0.74950150300601204</c:v>
              </c:pt>
              <c:pt idx="375">
                <c:v>0.75150549098196395</c:v>
              </c:pt>
              <c:pt idx="376">
                <c:v>0.75350947895791587</c:v>
              </c:pt>
              <c:pt idx="377">
                <c:v>0.75551346693386778</c:v>
              </c:pt>
              <c:pt idx="378">
                <c:v>0.7575174549098197</c:v>
              </c:pt>
              <c:pt idx="379">
                <c:v>0.75952144288577161</c:v>
              </c:pt>
              <c:pt idx="380">
                <c:v>0.76152543086172353</c:v>
              </c:pt>
              <c:pt idx="381">
                <c:v>0.76352941883767544</c:v>
              </c:pt>
              <c:pt idx="382">
                <c:v>0.76553340681362736</c:v>
              </c:pt>
              <c:pt idx="383">
                <c:v>0.76753739478957927</c:v>
              </c:pt>
              <c:pt idx="384">
                <c:v>0.76954138276553108</c:v>
              </c:pt>
              <c:pt idx="385">
                <c:v>0.77154537074148299</c:v>
              </c:pt>
              <c:pt idx="386">
                <c:v>0.77354935871743491</c:v>
              </c:pt>
              <c:pt idx="387">
                <c:v>0.77555334669338682</c:v>
              </c:pt>
              <c:pt idx="388">
                <c:v>0.77755733466933874</c:v>
              </c:pt>
              <c:pt idx="389">
                <c:v>0.77956132264529066</c:v>
              </c:pt>
              <c:pt idx="390">
                <c:v>0.78156531062124257</c:v>
              </c:pt>
              <c:pt idx="391">
                <c:v>0.78356929859719449</c:v>
              </c:pt>
              <c:pt idx="392">
                <c:v>0.7855732865731464</c:v>
              </c:pt>
              <c:pt idx="393">
                <c:v>0.78757727454909821</c:v>
              </c:pt>
              <c:pt idx="394">
                <c:v>0.78958126252505012</c:v>
              </c:pt>
              <c:pt idx="395">
                <c:v>0.79158525050100204</c:v>
              </c:pt>
              <c:pt idx="396">
                <c:v>0.79358923847695395</c:v>
              </c:pt>
              <c:pt idx="397">
                <c:v>0.79559322645290587</c:v>
              </c:pt>
              <c:pt idx="398">
                <c:v>0.79759721442885778</c:v>
              </c:pt>
              <c:pt idx="399">
                <c:v>0.7996012024048097</c:v>
              </c:pt>
              <c:pt idx="400">
                <c:v>0.80160519038076161</c:v>
              </c:pt>
              <c:pt idx="401">
                <c:v>0.80360917835671353</c:v>
              </c:pt>
              <c:pt idx="402">
                <c:v>0.80561316633266544</c:v>
              </c:pt>
              <c:pt idx="403">
                <c:v>0.80761715430861725</c:v>
              </c:pt>
              <c:pt idx="404">
                <c:v>0.80962114228456916</c:v>
              </c:pt>
              <c:pt idx="405">
                <c:v>0.81162513026052108</c:v>
              </c:pt>
              <c:pt idx="406">
                <c:v>0.81362911823647299</c:v>
              </c:pt>
              <c:pt idx="407">
                <c:v>0.81563310621242491</c:v>
              </c:pt>
              <c:pt idx="408">
                <c:v>0.81763709418837682</c:v>
              </c:pt>
              <c:pt idx="409">
                <c:v>0.81964108216432874</c:v>
              </c:pt>
              <c:pt idx="410">
                <c:v>0.82164507014028065</c:v>
              </c:pt>
              <c:pt idx="411">
                <c:v>0.82364905811623257</c:v>
              </c:pt>
              <c:pt idx="412">
                <c:v>0.82565304609218448</c:v>
              </c:pt>
              <c:pt idx="413">
                <c:v>0.82765703406813629</c:v>
              </c:pt>
              <c:pt idx="414">
                <c:v>0.8296610220440882</c:v>
              </c:pt>
              <c:pt idx="415">
                <c:v>0.83166501002004012</c:v>
              </c:pt>
              <c:pt idx="416">
                <c:v>0.83366899799599203</c:v>
              </c:pt>
              <c:pt idx="417">
                <c:v>0.83567298597194395</c:v>
              </c:pt>
              <c:pt idx="418">
                <c:v>0.83767697394789586</c:v>
              </c:pt>
              <c:pt idx="419">
                <c:v>0.83968096192384778</c:v>
              </c:pt>
              <c:pt idx="420">
                <c:v>0.84168494989979969</c:v>
              </c:pt>
              <c:pt idx="421">
                <c:v>0.84368893787575161</c:v>
              </c:pt>
              <c:pt idx="422">
                <c:v>0.84569292585170353</c:v>
              </c:pt>
              <c:pt idx="423">
                <c:v>0.84769691382765533</c:v>
              </c:pt>
              <c:pt idx="424">
                <c:v>0.84970090180360724</c:v>
              </c:pt>
              <c:pt idx="425">
                <c:v>0.85170488977955916</c:v>
              </c:pt>
              <c:pt idx="426">
                <c:v>0.85370887775551108</c:v>
              </c:pt>
              <c:pt idx="427">
                <c:v>0.85571286573146299</c:v>
              </c:pt>
              <c:pt idx="428">
                <c:v>0.85771685370741491</c:v>
              </c:pt>
              <c:pt idx="429">
                <c:v>0.85972084168336682</c:v>
              </c:pt>
              <c:pt idx="430">
                <c:v>0.86172482965931874</c:v>
              </c:pt>
              <c:pt idx="431">
                <c:v>0.86372881763527065</c:v>
              </c:pt>
              <c:pt idx="432">
                <c:v>0.86573280561122257</c:v>
              </c:pt>
              <c:pt idx="433">
                <c:v>0.86773679358717437</c:v>
              </c:pt>
              <c:pt idx="434">
                <c:v>0.86974078156312629</c:v>
              </c:pt>
              <c:pt idx="435">
                <c:v>0.8717447695390782</c:v>
              </c:pt>
              <c:pt idx="436">
                <c:v>0.87374875751503012</c:v>
              </c:pt>
              <c:pt idx="437">
                <c:v>0.87575274549098203</c:v>
              </c:pt>
              <c:pt idx="438">
                <c:v>0.87775673346693395</c:v>
              </c:pt>
              <c:pt idx="439">
                <c:v>0.87976072144288586</c:v>
              </c:pt>
              <c:pt idx="440">
                <c:v>0.88176470941883778</c:v>
              </c:pt>
              <c:pt idx="441">
                <c:v>0.88376869739478969</c:v>
              </c:pt>
              <c:pt idx="442">
                <c:v>0.88577268537074161</c:v>
              </c:pt>
              <c:pt idx="443">
                <c:v>0.88777667334669341</c:v>
              </c:pt>
              <c:pt idx="444">
                <c:v>0.88978066132264533</c:v>
              </c:pt>
              <c:pt idx="445">
                <c:v>0.89178464929859724</c:v>
              </c:pt>
              <c:pt idx="446">
                <c:v>0.89378863727454916</c:v>
              </c:pt>
              <c:pt idx="447">
                <c:v>0.89579262525050107</c:v>
              </c:pt>
              <c:pt idx="448">
                <c:v>0.89779661322645299</c:v>
              </c:pt>
              <c:pt idx="449">
                <c:v>0.8998006012024049</c:v>
              </c:pt>
              <c:pt idx="450">
                <c:v>0.90180458917835682</c:v>
              </c:pt>
              <c:pt idx="451">
                <c:v>0.90380857715430873</c:v>
              </c:pt>
              <c:pt idx="452">
                <c:v>0.90581256513026065</c:v>
              </c:pt>
              <c:pt idx="453">
                <c:v>0.90781655310621245</c:v>
              </c:pt>
              <c:pt idx="454">
                <c:v>0.90982054108216437</c:v>
              </c:pt>
              <c:pt idx="455">
                <c:v>0.91182452905811628</c:v>
              </c:pt>
              <c:pt idx="456">
                <c:v>0.9138285170340682</c:v>
              </c:pt>
              <c:pt idx="457">
                <c:v>0.91583250501002011</c:v>
              </c:pt>
              <c:pt idx="458">
                <c:v>0.91783649298597203</c:v>
              </c:pt>
              <c:pt idx="459">
                <c:v>0.91984048096192395</c:v>
              </c:pt>
              <c:pt idx="460">
                <c:v>0.92184446893787586</c:v>
              </c:pt>
              <c:pt idx="461">
                <c:v>0.92384845691382778</c:v>
              </c:pt>
              <c:pt idx="462">
                <c:v>0.92585244488977958</c:v>
              </c:pt>
              <c:pt idx="463">
                <c:v>0.9278564328657315</c:v>
              </c:pt>
              <c:pt idx="464">
                <c:v>0.92986042084168341</c:v>
              </c:pt>
              <c:pt idx="465">
                <c:v>0.93186440881763533</c:v>
              </c:pt>
              <c:pt idx="466">
                <c:v>0.93386839679358724</c:v>
              </c:pt>
              <c:pt idx="467">
                <c:v>0.93587238476953916</c:v>
              </c:pt>
              <c:pt idx="468">
                <c:v>0.93787637274549107</c:v>
              </c:pt>
              <c:pt idx="469">
                <c:v>0.93988036072144299</c:v>
              </c:pt>
              <c:pt idx="470">
                <c:v>0.9418843486973949</c:v>
              </c:pt>
              <c:pt idx="471">
                <c:v>0.94388833667334682</c:v>
              </c:pt>
              <c:pt idx="472">
                <c:v>0.94589232464929862</c:v>
              </c:pt>
              <c:pt idx="473">
                <c:v>0.94789631262525054</c:v>
              </c:pt>
              <c:pt idx="474">
                <c:v>0.94990030060120245</c:v>
              </c:pt>
              <c:pt idx="475">
                <c:v>0.95190428857715437</c:v>
              </c:pt>
              <c:pt idx="476">
                <c:v>0.95390827655310628</c:v>
              </c:pt>
              <c:pt idx="477">
                <c:v>0.9559122645290582</c:v>
              </c:pt>
              <c:pt idx="478">
                <c:v>0.95791625250501011</c:v>
              </c:pt>
              <c:pt idx="479">
                <c:v>0.95992024048096203</c:v>
              </c:pt>
              <c:pt idx="480">
                <c:v>0.96192422845691394</c:v>
              </c:pt>
              <c:pt idx="481">
                <c:v>0.96392821643286586</c:v>
              </c:pt>
              <c:pt idx="482">
                <c:v>0.96593220440881766</c:v>
              </c:pt>
              <c:pt idx="483">
                <c:v>0.96793619238476958</c:v>
              </c:pt>
              <c:pt idx="484">
                <c:v>0.96994018036072149</c:v>
              </c:pt>
              <c:pt idx="485">
                <c:v>0.97194416833667341</c:v>
              </c:pt>
              <c:pt idx="486">
                <c:v>0.97394815631262532</c:v>
              </c:pt>
              <c:pt idx="487">
                <c:v>0.97595214428857724</c:v>
              </c:pt>
              <c:pt idx="488">
                <c:v>0.97795613226452915</c:v>
              </c:pt>
              <c:pt idx="489">
                <c:v>0.97996012024048107</c:v>
              </c:pt>
              <c:pt idx="490">
                <c:v>0.98196410821643298</c:v>
              </c:pt>
              <c:pt idx="491">
                <c:v>0.9839680961923849</c:v>
              </c:pt>
              <c:pt idx="492">
                <c:v>0.9859720841683367</c:v>
              </c:pt>
              <c:pt idx="493">
                <c:v>0.98797607214428862</c:v>
              </c:pt>
              <c:pt idx="494">
                <c:v>0.98998006012024053</c:v>
              </c:pt>
              <c:pt idx="495">
                <c:v>0.99198404809619245</c:v>
              </c:pt>
              <c:pt idx="496">
                <c:v>0.99398803607214437</c:v>
              </c:pt>
              <c:pt idx="497">
                <c:v>0.99599202404809628</c:v>
              </c:pt>
              <c:pt idx="498">
                <c:v>0.9979960120240482</c:v>
              </c:pt>
              <c:pt idx="499">
                <c:v>1</c:v>
              </c:pt>
            </c:numLit>
          </c:xVal>
          <c:yVal>
            <c:numLit>
              <c:formatCode>General</c:formatCode>
              <c:ptCount val="500"/>
              <c:pt idx="0">
                <c:v>2.9394856437561904E-2</c:v>
              </c:pt>
              <c:pt idx="1">
                <c:v>5.9200887420082084</c:v>
              </c:pt>
              <c:pt idx="2">
                <c:v>11.810782627578853</c:v>
              </c:pt>
              <c:pt idx="3">
                <c:v>17.701476513149498</c:v>
              </c:pt>
              <c:pt idx="4">
                <c:v>23.592170398720146</c:v>
              </c:pt>
              <c:pt idx="5">
                <c:v>29.482864284290795</c:v>
              </c:pt>
              <c:pt idx="6">
                <c:v>35.373558169861433</c:v>
              </c:pt>
              <c:pt idx="7">
                <c:v>41.264252055432088</c:v>
              </c:pt>
              <c:pt idx="8">
                <c:v>47.15494594100273</c:v>
              </c:pt>
              <c:pt idx="9">
                <c:v>53.045639826573385</c:v>
              </c:pt>
              <c:pt idx="10">
                <c:v>58.936333712144034</c:v>
              </c:pt>
              <c:pt idx="11">
                <c:v>64.827027597714661</c:v>
              </c:pt>
              <c:pt idx="12">
                <c:v>70.717721483285331</c:v>
              </c:pt>
              <c:pt idx="13">
                <c:v>76.608415368855972</c:v>
              </c:pt>
              <c:pt idx="14">
                <c:v>82.499109254426628</c:v>
              </c:pt>
              <c:pt idx="15">
                <c:v>88.389803139997255</c:v>
              </c:pt>
              <c:pt idx="16">
                <c:v>94.280497025567911</c:v>
              </c:pt>
              <c:pt idx="17">
                <c:v>100.17119091113857</c:v>
              </c:pt>
              <c:pt idx="18">
                <c:v>106.06188479670918</c:v>
              </c:pt>
              <c:pt idx="19">
                <c:v>111.95257868227985</c:v>
              </c:pt>
              <c:pt idx="20">
                <c:v>117.84327256785049</c:v>
              </c:pt>
              <c:pt idx="21">
                <c:v>123.73396645342115</c:v>
              </c:pt>
              <c:pt idx="22">
                <c:v>129.62466033899179</c:v>
              </c:pt>
              <c:pt idx="23">
                <c:v>135.5153542245624</c:v>
              </c:pt>
              <c:pt idx="24">
                <c:v>141.40604811013307</c:v>
              </c:pt>
              <c:pt idx="25">
                <c:v>147.29674199570374</c:v>
              </c:pt>
              <c:pt idx="26">
                <c:v>153.18743588127433</c:v>
              </c:pt>
              <c:pt idx="27">
                <c:v>159.07812976684502</c:v>
              </c:pt>
              <c:pt idx="28">
                <c:v>164.96882365241567</c:v>
              </c:pt>
              <c:pt idx="29">
                <c:v>170.85951753798631</c:v>
              </c:pt>
              <c:pt idx="30">
                <c:v>176.75021142355698</c:v>
              </c:pt>
              <c:pt idx="31">
                <c:v>182.64090530912759</c:v>
              </c:pt>
              <c:pt idx="32">
                <c:v>188.53159919469823</c:v>
              </c:pt>
              <c:pt idx="33">
                <c:v>194.42229308026884</c:v>
              </c:pt>
              <c:pt idx="34">
                <c:v>200.31298696583957</c:v>
              </c:pt>
              <c:pt idx="35">
                <c:v>206.20368085141021</c:v>
              </c:pt>
              <c:pt idx="36">
                <c:v>212.09437473698085</c:v>
              </c:pt>
              <c:pt idx="37">
                <c:v>217.98506862255144</c:v>
              </c:pt>
              <c:pt idx="38">
                <c:v>223.87576250812211</c:v>
              </c:pt>
              <c:pt idx="39">
                <c:v>229.76645639369278</c:v>
              </c:pt>
              <c:pt idx="40">
                <c:v>235.65715027926342</c:v>
              </c:pt>
              <c:pt idx="41">
                <c:v>241.54784416483406</c:v>
              </c:pt>
              <c:pt idx="42">
                <c:v>247.4385380504047</c:v>
              </c:pt>
              <c:pt idx="43">
                <c:v>253.32923193597537</c:v>
              </c:pt>
              <c:pt idx="44">
                <c:v>259.21992582154598</c:v>
              </c:pt>
              <c:pt idx="45">
                <c:v>265.11061970711665</c:v>
              </c:pt>
              <c:pt idx="46">
                <c:v>271.00131359268727</c:v>
              </c:pt>
              <c:pt idx="47">
                <c:v>276.89200747825794</c:v>
              </c:pt>
              <c:pt idx="48">
                <c:v>282.78270136382855</c:v>
              </c:pt>
              <c:pt idx="49">
                <c:v>288.67339524939922</c:v>
              </c:pt>
              <c:pt idx="50">
                <c:v>294.56408913496989</c:v>
              </c:pt>
              <c:pt idx="51">
                <c:v>300.4547830205405</c:v>
              </c:pt>
              <c:pt idx="52">
                <c:v>306.34547690611123</c:v>
              </c:pt>
              <c:pt idx="53">
                <c:v>312.23617079168184</c:v>
              </c:pt>
              <c:pt idx="54">
                <c:v>318.12686467725246</c:v>
              </c:pt>
              <c:pt idx="55">
                <c:v>324.01755856282313</c:v>
              </c:pt>
              <c:pt idx="56">
                <c:v>329.90825244839374</c:v>
              </c:pt>
              <c:pt idx="57">
                <c:v>335.79894633396441</c:v>
              </c:pt>
              <c:pt idx="58">
                <c:v>341.68964021953497</c:v>
              </c:pt>
              <c:pt idx="59">
                <c:v>347.58033410510569</c:v>
              </c:pt>
              <c:pt idx="60">
                <c:v>353.47102799067636</c:v>
              </c:pt>
              <c:pt idx="61">
                <c:v>359.36172187624703</c:v>
              </c:pt>
              <c:pt idx="62">
                <c:v>365.25241576181759</c:v>
              </c:pt>
              <c:pt idx="63">
                <c:v>371.14310964738826</c:v>
              </c:pt>
              <c:pt idx="64">
                <c:v>377.03380353295898</c:v>
              </c:pt>
              <c:pt idx="65">
                <c:v>382.92449741852954</c:v>
              </c:pt>
              <c:pt idx="66">
                <c:v>388.81519130410021</c:v>
              </c:pt>
              <c:pt idx="67">
                <c:v>394.70588518967088</c:v>
              </c:pt>
              <c:pt idx="68">
                <c:v>400.59657907524149</c:v>
              </c:pt>
              <c:pt idx="69">
                <c:v>406.48727296081228</c:v>
              </c:pt>
              <c:pt idx="70">
                <c:v>412.37796684638283</c:v>
              </c:pt>
              <c:pt idx="71">
                <c:v>418.26866073195345</c:v>
              </c:pt>
              <c:pt idx="72">
                <c:v>424.159354617524</c:v>
              </c:pt>
              <c:pt idx="73">
                <c:v>430.05004850309473</c:v>
              </c:pt>
              <c:pt idx="74">
                <c:v>435.94074238866551</c:v>
              </c:pt>
              <c:pt idx="75">
                <c:v>441.83143627423607</c:v>
              </c:pt>
              <c:pt idx="76">
                <c:v>447.72213015980668</c:v>
              </c:pt>
              <c:pt idx="77">
                <c:v>453.61282404537729</c:v>
              </c:pt>
              <c:pt idx="78">
                <c:v>459.50351793094796</c:v>
              </c:pt>
              <c:pt idx="79">
                <c:v>465.39421181651863</c:v>
              </c:pt>
              <c:pt idx="80">
                <c:v>471.28490570208925</c:v>
              </c:pt>
              <c:pt idx="81">
                <c:v>477.17559958765997</c:v>
              </c:pt>
              <c:pt idx="82">
                <c:v>483.06629347323064</c:v>
              </c:pt>
              <c:pt idx="83">
                <c:v>488.95698735880126</c:v>
              </c:pt>
              <c:pt idx="84">
                <c:v>494.84768124437187</c:v>
              </c:pt>
              <c:pt idx="85">
                <c:v>500.7383751299426</c:v>
              </c:pt>
              <c:pt idx="86">
                <c:v>506.62906901551321</c:v>
              </c:pt>
              <c:pt idx="87">
                <c:v>512.51976290108371</c:v>
              </c:pt>
              <c:pt idx="88">
                <c:v>518.41045678665455</c:v>
              </c:pt>
              <c:pt idx="89">
                <c:v>524.30115067222505</c:v>
              </c:pt>
              <c:pt idx="90">
                <c:v>530.19184455779578</c:v>
              </c:pt>
              <c:pt idx="91">
                <c:v>536.08253844336639</c:v>
              </c:pt>
              <c:pt idx="92">
                <c:v>541.973232328937</c:v>
              </c:pt>
              <c:pt idx="93">
                <c:v>547.86392621450773</c:v>
              </c:pt>
              <c:pt idx="94">
                <c:v>553.75462010007823</c:v>
              </c:pt>
              <c:pt idx="95">
                <c:v>559.64531398564884</c:v>
              </c:pt>
              <c:pt idx="96">
                <c:v>565.53600787121968</c:v>
              </c:pt>
              <c:pt idx="97">
                <c:v>571.42670175679018</c:v>
              </c:pt>
              <c:pt idx="98">
                <c:v>577.31739564236102</c:v>
              </c:pt>
              <c:pt idx="99">
                <c:v>583.20808952793141</c:v>
              </c:pt>
              <c:pt idx="100">
                <c:v>589.09878341350225</c:v>
              </c:pt>
              <c:pt idx="101">
                <c:v>594.98947729907297</c:v>
              </c:pt>
              <c:pt idx="102">
                <c:v>600.88017118464347</c:v>
              </c:pt>
              <c:pt idx="103">
                <c:v>606.7708650702142</c:v>
              </c:pt>
              <c:pt idx="104">
                <c:v>612.66155895578481</c:v>
              </c:pt>
              <c:pt idx="105">
                <c:v>618.55225284135531</c:v>
              </c:pt>
              <c:pt idx="106">
                <c:v>624.44294672692615</c:v>
              </c:pt>
              <c:pt idx="107">
                <c:v>630.33364061249677</c:v>
              </c:pt>
              <c:pt idx="108">
                <c:v>636.22433449806726</c:v>
              </c:pt>
              <c:pt idx="109">
                <c:v>642.11502838363799</c:v>
              </c:pt>
              <c:pt idx="110">
                <c:v>648.0057222692086</c:v>
              </c:pt>
              <c:pt idx="111">
                <c:v>653.89641615477933</c:v>
              </c:pt>
              <c:pt idx="112">
                <c:v>659.78711004034994</c:v>
              </c:pt>
              <c:pt idx="113">
                <c:v>665.67780392592056</c:v>
              </c:pt>
              <c:pt idx="114">
                <c:v>671.56849781149128</c:v>
              </c:pt>
              <c:pt idx="115">
                <c:v>677.45919169706178</c:v>
              </c:pt>
              <c:pt idx="116">
                <c:v>683.34988558263262</c:v>
              </c:pt>
              <c:pt idx="117">
                <c:v>689.24057946820324</c:v>
              </c:pt>
              <c:pt idx="118">
                <c:v>695.13127335377385</c:v>
              </c:pt>
              <c:pt idx="119">
                <c:v>701.02196723934458</c:v>
              </c:pt>
              <c:pt idx="120">
                <c:v>706.91266112491508</c:v>
              </c:pt>
              <c:pt idx="121">
                <c:v>712.8033550104858</c:v>
              </c:pt>
              <c:pt idx="122">
                <c:v>718.69404889605653</c:v>
              </c:pt>
              <c:pt idx="123">
                <c:v>724.58474278162703</c:v>
              </c:pt>
              <c:pt idx="124">
                <c:v>730.47543666719776</c:v>
              </c:pt>
              <c:pt idx="125">
                <c:v>736.36613055276825</c:v>
              </c:pt>
              <c:pt idx="126">
                <c:v>742.25682443833898</c:v>
              </c:pt>
              <c:pt idx="127">
                <c:v>748.14751832390959</c:v>
              </c:pt>
              <c:pt idx="128">
                <c:v>754.03821220948032</c:v>
              </c:pt>
              <c:pt idx="129">
                <c:v>759.92890609505093</c:v>
              </c:pt>
              <c:pt idx="130">
                <c:v>765.81959998062143</c:v>
              </c:pt>
              <c:pt idx="131">
                <c:v>771.71029386619216</c:v>
              </c:pt>
              <c:pt idx="132">
                <c:v>777.60098775176277</c:v>
              </c:pt>
              <c:pt idx="133">
                <c:v>783.49168163733361</c:v>
              </c:pt>
              <c:pt idx="134">
                <c:v>789.38237552290423</c:v>
              </c:pt>
              <c:pt idx="135">
                <c:v>795.27306940847473</c:v>
              </c:pt>
              <c:pt idx="136">
                <c:v>801.16376329404545</c:v>
              </c:pt>
              <c:pt idx="137">
                <c:v>807.05445717961629</c:v>
              </c:pt>
              <c:pt idx="138">
                <c:v>812.94515106518679</c:v>
              </c:pt>
              <c:pt idx="139">
                <c:v>818.83584495075752</c:v>
              </c:pt>
              <c:pt idx="140">
                <c:v>824.7265388363279</c:v>
              </c:pt>
              <c:pt idx="141">
                <c:v>830.61723272189863</c:v>
              </c:pt>
              <c:pt idx="142">
                <c:v>836.50792660746936</c:v>
              </c:pt>
              <c:pt idx="143">
                <c:v>842.39862049304008</c:v>
              </c:pt>
              <c:pt idx="144">
                <c:v>848.28931437861058</c:v>
              </c:pt>
              <c:pt idx="145">
                <c:v>854.18000826418131</c:v>
              </c:pt>
              <c:pt idx="146">
                <c:v>860.07070214975204</c:v>
              </c:pt>
              <c:pt idx="147">
                <c:v>865.96139603532254</c:v>
              </c:pt>
              <c:pt idx="148">
                <c:v>871.85208992089326</c:v>
              </c:pt>
              <c:pt idx="149">
                <c:v>877.74278380646388</c:v>
              </c:pt>
              <c:pt idx="150">
                <c:v>883.63347769203449</c:v>
              </c:pt>
              <c:pt idx="151">
                <c:v>889.52417157760522</c:v>
              </c:pt>
              <c:pt idx="152">
                <c:v>895.41486546317583</c:v>
              </c:pt>
              <c:pt idx="153">
                <c:v>901.30555934874644</c:v>
              </c:pt>
              <c:pt idx="154">
                <c:v>907.19625323431706</c:v>
              </c:pt>
              <c:pt idx="155">
                <c:v>913.08694711988778</c:v>
              </c:pt>
              <c:pt idx="156">
                <c:v>918.97764100545828</c:v>
              </c:pt>
              <c:pt idx="157">
                <c:v>924.86833489102901</c:v>
              </c:pt>
              <c:pt idx="158">
                <c:v>930.75902877659985</c:v>
              </c:pt>
              <c:pt idx="159">
                <c:v>936.64972266217057</c:v>
              </c:pt>
              <c:pt idx="160">
                <c:v>942.54041654774096</c:v>
              </c:pt>
              <c:pt idx="161">
                <c:v>948.43111043331169</c:v>
              </c:pt>
              <c:pt idx="162">
                <c:v>954.3218043188823</c:v>
              </c:pt>
              <c:pt idx="163">
                <c:v>960.21249820445314</c:v>
              </c:pt>
              <c:pt idx="164">
                <c:v>966.10319209002353</c:v>
              </c:pt>
              <c:pt idx="165">
                <c:v>971.99388597559425</c:v>
              </c:pt>
              <c:pt idx="166">
                <c:v>977.88457986116475</c:v>
              </c:pt>
              <c:pt idx="167">
                <c:v>983.77527374673559</c:v>
              </c:pt>
              <c:pt idx="168">
                <c:v>989.66596763230621</c:v>
              </c:pt>
              <c:pt idx="169">
                <c:v>995.55666151787671</c:v>
              </c:pt>
              <c:pt idx="170">
                <c:v>1001.4473554034474</c:v>
              </c:pt>
              <c:pt idx="171">
                <c:v>1007.338049289018</c:v>
              </c:pt>
              <c:pt idx="172">
                <c:v>1013.2287431745887</c:v>
              </c:pt>
              <c:pt idx="173">
                <c:v>1019.1194370601595</c:v>
              </c:pt>
              <c:pt idx="174">
                <c:v>1025.01013094573</c:v>
              </c:pt>
              <c:pt idx="175">
                <c:v>1030.9008248313005</c:v>
              </c:pt>
              <c:pt idx="176">
                <c:v>1036.7915187168712</c:v>
              </c:pt>
              <c:pt idx="177">
                <c:v>1042.6822126024422</c:v>
              </c:pt>
              <c:pt idx="178">
                <c:v>1048.5729064880127</c:v>
              </c:pt>
              <c:pt idx="179">
                <c:v>1054.4636003735832</c:v>
              </c:pt>
              <c:pt idx="180">
                <c:v>1060.3542942591539</c:v>
              </c:pt>
              <c:pt idx="181">
                <c:v>1066.2449881447244</c:v>
              </c:pt>
              <c:pt idx="182">
                <c:v>1072.1356820302951</c:v>
              </c:pt>
              <c:pt idx="183">
                <c:v>1078.0263759158659</c:v>
              </c:pt>
              <c:pt idx="184">
                <c:v>1083.9170698014366</c:v>
              </c:pt>
              <c:pt idx="185">
                <c:v>1089.8077636870071</c:v>
              </c:pt>
              <c:pt idx="186">
                <c:v>1095.6984575725778</c:v>
              </c:pt>
              <c:pt idx="187">
                <c:v>1101.5891514581483</c:v>
              </c:pt>
              <c:pt idx="188">
                <c:v>1107.4798453437193</c:v>
              </c:pt>
              <c:pt idx="189">
                <c:v>1113.3705392292895</c:v>
              </c:pt>
              <c:pt idx="190">
                <c:v>1119.2612331148605</c:v>
              </c:pt>
              <c:pt idx="191">
                <c:v>1125.151927000431</c:v>
              </c:pt>
              <c:pt idx="192">
                <c:v>1131.0426208860017</c:v>
              </c:pt>
              <c:pt idx="193">
                <c:v>1136.9333147715724</c:v>
              </c:pt>
              <c:pt idx="194">
                <c:v>1142.8240086571427</c:v>
              </c:pt>
              <c:pt idx="195">
                <c:v>1148.7147025427134</c:v>
              </c:pt>
              <c:pt idx="196">
                <c:v>1154.6053964282844</c:v>
              </c:pt>
              <c:pt idx="197">
                <c:v>1160.4960903138547</c:v>
              </c:pt>
              <c:pt idx="198">
                <c:v>1166.3867841994256</c:v>
              </c:pt>
              <c:pt idx="199">
                <c:v>1172.2774780849961</c:v>
              </c:pt>
              <c:pt idx="200">
                <c:v>1178.1681719705668</c:v>
              </c:pt>
              <c:pt idx="201">
                <c:v>1184.0588658561376</c:v>
              </c:pt>
              <c:pt idx="202">
                <c:v>1189.9495597417081</c:v>
              </c:pt>
              <c:pt idx="203">
                <c:v>1195.8402536272788</c:v>
              </c:pt>
              <c:pt idx="204">
                <c:v>1201.7309475128493</c:v>
              </c:pt>
              <c:pt idx="205">
                <c:v>1207.6216413984203</c:v>
              </c:pt>
              <c:pt idx="206">
                <c:v>1213.5123352839908</c:v>
              </c:pt>
              <c:pt idx="207">
                <c:v>1219.4030291695613</c:v>
              </c:pt>
              <c:pt idx="208">
                <c:v>1225.2937230551322</c:v>
              </c:pt>
              <c:pt idx="209">
                <c:v>1231.1844169407027</c:v>
              </c:pt>
              <c:pt idx="210">
                <c:v>1237.0751108262732</c:v>
              </c:pt>
              <c:pt idx="211">
                <c:v>1242.9658047118442</c:v>
              </c:pt>
              <c:pt idx="212">
                <c:v>1248.8564985974149</c:v>
              </c:pt>
              <c:pt idx="213">
                <c:v>1254.7471924829852</c:v>
              </c:pt>
              <c:pt idx="214">
                <c:v>1260.6378863685557</c:v>
              </c:pt>
              <c:pt idx="215">
                <c:v>1266.5285802541266</c:v>
              </c:pt>
              <c:pt idx="216">
                <c:v>1272.4192741396973</c:v>
              </c:pt>
              <c:pt idx="217">
                <c:v>1278.3099680252678</c:v>
              </c:pt>
              <c:pt idx="218">
                <c:v>1284.2006619108388</c:v>
              </c:pt>
              <c:pt idx="219">
                <c:v>1290.0913557964091</c:v>
              </c:pt>
              <c:pt idx="220">
                <c:v>1295.9820496819798</c:v>
              </c:pt>
              <c:pt idx="221">
                <c:v>1301.8727435675503</c:v>
              </c:pt>
              <c:pt idx="222">
                <c:v>1307.7634374531212</c:v>
              </c:pt>
              <c:pt idx="223">
                <c:v>1313.6541313386917</c:v>
              </c:pt>
              <c:pt idx="224">
                <c:v>1319.5448252242622</c:v>
              </c:pt>
              <c:pt idx="225">
                <c:v>1325.435519109833</c:v>
              </c:pt>
              <c:pt idx="226">
                <c:v>1331.3262129954037</c:v>
              </c:pt>
              <c:pt idx="227">
                <c:v>1337.2169068809742</c:v>
              </c:pt>
              <c:pt idx="228">
                <c:v>1343.1076007665451</c:v>
              </c:pt>
              <c:pt idx="229">
                <c:v>1348.9982946521156</c:v>
              </c:pt>
              <c:pt idx="230">
                <c:v>1354.8889885376861</c:v>
              </c:pt>
              <c:pt idx="231">
                <c:v>1360.7796824232566</c:v>
              </c:pt>
              <c:pt idx="232">
                <c:v>1366.6703763088276</c:v>
              </c:pt>
              <c:pt idx="233">
                <c:v>1372.5610701943979</c:v>
              </c:pt>
              <c:pt idx="234">
                <c:v>1378.4517640799686</c:v>
              </c:pt>
              <c:pt idx="235">
                <c:v>1384.3424579655396</c:v>
              </c:pt>
              <c:pt idx="236">
                <c:v>1390.2331518511101</c:v>
              </c:pt>
              <c:pt idx="237">
                <c:v>1396.1238457366808</c:v>
              </c:pt>
              <c:pt idx="238">
                <c:v>1402.0145396222513</c:v>
              </c:pt>
              <c:pt idx="239">
                <c:v>1407.9052335078222</c:v>
              </c:pt>
              <c:pt idx="240">
                <c:v>1413.7959273933925</c:v>
              </c:pt>
              <c:pt idx="241">
                <c:v>1419.6866212789632</c:v>
              </c:pt>
              <c:pt idx="242">
                <c:v>1425.5773151645342</c:v>
              </c:pt>
              <c:pt idx="243">
                <c:v>1431.4680090501045</c:v>
              </c:pt>
              <c:pt idx="244">
                <c:v>1437.3587029356752</c:v>
              </c:pt>
              <c:pt idx="245">
                <c:v>1443.2493968212461</c:v>
              </c:pt>
              <c:pt idx="246">
                <c:v>1449.1400907068166</c:v>
              </c:pt>
              <c:pt idx="247">
                <c:v>1455.0307845923871</c:v>
              </c:pt>
              <c:pt idx="248">
                <c:v>1460.9214784779576</c:v>
              </c:pt>
              <c:pt idx="249">
                <c:v>1466.8121723635286</c:v>
              </c:pt>
              <c:pt idx="250">
                <c:v>1472.7028662490991</c:v>
              </c:pt>
              <c:pt idx="251">
                <c:v>1478.5935601346698</c:v>
              </c:pt>
              <c:pt idx="252">
                <c:v>1484.4842540202405</c:v>
              </c:pt>
              <c:pt idx="253">
                <c:v>1490.3749479058113</c:v>
              </c:pt>
              <c:pt idx="254">
                <c:v>1496.265641791382</c:v>
              </c:pt>
              <c:pt idx="255">
                <c:v>1502.1563356769523</c:v>
              </c:pt>
              <c:pt idx="256">
                <c:v>1508.0470295625228</c:v>
              </c:pt>
              <c:pt idx="257">
                <c:v>1513.9377234480935</c:v>
              </c:pt>
              <c:pt idx="258">
                <c:v>1519.8284173336642</c:v>
              </c:pt>
              <c:pt idx="259">
                <c:v>1525.7191112192349</c:v>
              </c:pt>
              <c:pt idx="260">
                <c:v>1531.6098051048057</c:v>
              </c:pt>
              <c:pt idx="261">
                <c:v>1537.5004989903762</c:v>
              </c:pt>
              <c:pt idx="262">
                <c:v>1543.3911928759471</c:v>
              </c:pt>
              <c:pt idx="263">
                <c:v>1549.2818867615176</c:v>
              </c:pt>
              <c:pt idx="264">
                <c:v>1555.1725806470884</c:v>
              </c:pt>
              <c:pt idx="265">
                <c:v>1561.0632745326586</c:v>
              </c:pt>
              <c:pt idx="266">
                <c:v>1566.9539684182294</c:v>
              </c:pt>
              <c:pt idx="267">
                <c:v>1572.8446623038001</c:v>
              </c:pt>
              <c:pt idx="268">
                <c:v>1578.7353561893708</c:v>
              </c:pt>
              <c:pt idx="269">
                <c:v>1584.6260500749415</c:v>
              </c:pt>
              <c:pt idx="270">
                <c:v>1590.516743960512</c:v>
              </c:pt>
              <c:pt idx="271">
                <c:v>1596.4074378460828</c:v>
              </c:pt>
              <c:pt idx="272">
                <c:v>1602.2981317316533</c:v>
              </c:pt>
              <c:pt idx="273">
                <c:v>1608.188825617224</c:v>
              </c:pt>
              <c:pt idx="274">
                <c:v>1614.0795195027949</c:v>
              </c:pt>
              <c:pt idx="275">
                <c:v>1619.9702133883652</c:v>
              </c:pt>
              <c:pt idx="276">
                <c:v>1625.8609072739359</c:v>
              </c:pt>
              <c:pt idx="277">
                <c:v>1631.7516011595067</c:v>
              </c:pt>
              <c:pt idx="278">
                <c:v>1637.6422950450772</c:v>
              </c:pt>
              <c:pt idx="279">
                <c:v>1643.5329889306477</c:v>
              </c:pt>
              <c:pt idx="280">
                <c:v>1649.4236828162186</c:v>
              </c:pt>
              <c:pt idx="281">
                <c:v>1655.3143767017891</c:v>
              </c:pt>
              <c:pt idx="282">
                <c:v>1661.2050705873596</c:v>
              </c:pt>
              <c:pt idx="283">
                <c:v>1667.0957644729308</c:v>
              </c:pt>
              <c:pt idx="284">
                <c:v>1672.9864583585011</c:v>
              </c:pt>
              <c:pt idx="285">
                <c:v>1678.8771522440716</c:v>
              </c:pt>
              <c:pt idx="286">
                <c:v>1684.7678461296425</c:v>
              </c:pt>
              <c:pt idx="287">
                <c:v>1690.658540015213</c:v>
              </c:pt>
              <c:pt idx="288">
                <c:v>1696.5492339007835</c:v>
              </c:pt>
              <c:pt idx="289">
                <c:v>1702.4399277863542</c:v>
              </c:pt>
              <c:pt idx="290">
                <c:v>1708.330621671925</c:v>
              </c:pt>
              <c:pt idx="291">
                <c:v>1714.2213155574955</c:v>
              </c:pt>
              <c:pt idx="292">
                <c:v>1720.1120094430662</c:v>
              </c:pt>
              <c:pt idx="293">
                <c:v>1726.0027033286372</c:v>
              </c:pt>
              <c:pt idx="294">
                <c:v>1731.8933972142074</c:v>
              </c:pt>
              <c:pt idx="295">
                <c:v>1737.7840910997782</c:v>
              </c:pt>
              <c:pt idx="296">
                <c:v>1743.6747849853487</c:v>
              </c:pt>
              <c:pt idx="297">
                <c:v>1749.5654788709196</c:v>
              </c:pt>
              <c:pt idx="298">
                <c:v>1755.4561727564901</c:v>
              </c:pt>
              <c:pt idx="299">
                <c:v>1761.3468666420606</c:v>
              </c:pt>
              <c:pt idx="300">
                <c:v>1767.2375605276316</c:v>
              </c:pt>
              <c:pt idx="301">
                <c:v>1773.1282544132021</c:v>
              </c:pt>
              <c:pt idx="302">
                <c:v>1779.0189482987732</c:v>
              </c:pt>
              <c:pt idx="303">
                <c:v>1784.9096421843437</c:v>
              </c:pt>
              <c:pt idx="304">
                <c:v>1790.8003360699142</c:v>
              </c:pt>
              <c:pt idx="305">
                <c:v>1796.6910299554845</c:v>
              </c:pt>
              <c:pt idx="306">
                <c:v>1802.5817238410555</c:v>
              </c:pt>
              <c:pt idx="307">
                <c:v>1808.472417726626</c:v>
              </c:pt>
              <c:pt idx="308">
                <c:v>1814.3631116121965</c:v>
              </c:pt>
              <c:pt idx="309">
                <c:v>1820.2538054977672</c:v>
              </c:pt>
              <c:pt idx="310">
                <c:v>1826.1444993833381</c:v>
              </c:pt>
              <c:pt idx="311">
                <c:v>1832.0351932689084</c:v>
              </c:pt>
              <c:pt idx="312">
                <c:v>1837.9258871544794</c:v>
              </c:pt>
              <c:pt idx="313">
                <c:v>1843.8165810400501</c:v>
              </c:pt>
              <c:pt idx="314">
                <c:v>1849.7072749256208</c:v>
              </c:pt>
              <c:pt idx="315">
                <c:v>1855.5979688111911</c:v>
              </c:pt>
              <c:pt idx="316">
                <c:v>1861.4886626967616</c:v>
              </c:pt>
              <c:pt idx="317">
                <c:v>1867.3793565823323</c:v>
              </c:pt>
              <c:pt idx="318">
                <c:v>1873.270050467903</c:v>
              </c:pt>
              <c:pt idx="319">
                <c:v>1879.1607443534735</c:v>
              </c:pt>
              <c:pt idx="320">
                <c:v>1885.0514382390447</c:v>
              </c:pt>
              <c:pt idx="321">
                <c:v>1890.942132124615</c:v>
              </c:pt>
              <c:pt idx="322">
                <c:v>1896.8328260101857</c:v>
              </c:pt>
              <c:pt idx="323">
                <c:v>1902.7235198957567</c:v>
              </c:pt>
              <c:pt idx="324">
                <c:v>1908.6142137813272</c:v>
              </c:pt>
              <c:pt idx="325">
                <c:v>1914.5049076668975</c:v>
              </c:pt>
              <c:pt idx="326">
                <c:v>1920.395601552468</c:v>
              </c:pt>
              <c:pt idx="327">
                <c:v>1926.2862954380389</c:v>
              </c:pt>
              <c:pt idx="328">
                <c:v>1932.1769893236094</c:v>
              </c:pt>
              <c:pt idx="329">
                <c:v>1938.0676832091804</c:v>
              </c:pt>
              <c:pt idx="330">
                <c:v>1943.9583770947511</c:v>
              </c:pt>
              <c:pt idx="331">
                <c:v>1949.8490709803216</c:v>
              </c:pt>
              <c:pt idx="332">
                <c:v>1955.7397648658919</c:v>
              </c:pt>
              <c:pt idx="333">
                <c:v>1961.630458751463</c:v>
              </c:pt>
              <c:pt idx="334">
                <c:v>1967.5211526370333</c:v>
              </c:pt>
              <c:pt idx="335">
                <c:v>1973.4118465226038</c:v>
              </c:pt>
              <c:pt idx="336">
                <c:v>1979.3025404081745</c:v>
              </c:pt>
              <c:pt idx="337">
                <c:v>1985.1932342937455</c:v>
              </c:pt>
              <c:pt idx="338">
                <c:v>1991.0839281793162</c:v>
              </c:pt>
              <c:pt idx="339">
                <c:v>1996.9746220648865</c:v>
              </c:pt>
              <c:pt idx="340">
                <c:v>2002.865315950457</c:v>
              </c:pt>
              <c:pt idx="341">
                <c:v>2008.7560098360282</c:v>
              </c:pt>
              <c:pt idx="342">
                <c:v>2014.6467037215987</c:v>
              </c:pt>
              <c:pt idx="343">
                <c:v>2020.5373976071692</c:v>
              </c:pt>
              <c:pt idx="344">
                <c:v>2026.4280914927401</c:v>
              </c:pt>
              <c:pt idx="345">
                <c:v>2032.3187853783106</c:v>
              </c:pt>
              <c:pt idx="346">
                <c:v>2038.2094792638809</c:v>
              </c:pt>
              <c:pt idx="347">
                <c:v>2044.1001731494518</c:v>
              </c:pt>
              <c:pt idx="348">
                <c:v>2049.9908670350223</c:v>
              </c:pt>
              <c:pt idx="349">
                <c:v>2055.8815609205935</c:v>
              </c:pt>
              <c:pt idx="350">
                <c:v>2061.7722548061638</c:v>
              </c:pt>
              <c:pt idx="351">
                <c:v>2067.662948691735</c:v>
              </c:pt>
              <c:pt idx="352">
                <c:v>2073.5536425773053</c:v>
              </c:pt>
              <c:pt idx="353">
                <c:v>2079.444336462876</c:v>
              </c:pt>
              <c:pt idx="354">
                <c:v>2085.3350303484463</c:v>
              </c:pt>
              <c:pt idx="355">
                <c:v>2091.2257242340165</c:v>
              </c:pt>
              <c:pt idx="356">
                <c:v>2097.1164181195877</c:v>
              </c:pt>
              <c:pt idx="357">
                <c:v>2103.0071120051584</c:v>
              </c:pt>
              <c:pt idx="358">
                <c:v>2108.8978058907287</c:v>
              </c:pt>
              <c:pt idx="359">
                <c:v>2114.7884997762994</c:v>
              </c:pt>
              <c:pt idx="360">
                <c:v>2120.6791936618702</c:v>
              </c:pt>
              <c:pt idx="361">
                <c:v>2126.5698875474409</c:v>
              </c:pt>
              <c:pt idx="362">
                <c:v>2132.4605814330116</c:v>
              </c:pt>
              <c:pt idx="363">
                <c:v>2138.3512753185828</c:v>
              </c:pt>
              <c:pt idx="364">
                <c:v>2144.2419692041531</c:v>
              </c:pt>
              <c:pt idx="365">
                <c:v>2150.1326630897233</c:v>
              </c:pt>
              <c:pt idx="366">
                <c:v>2156.0233569752936</c:v>
              </c:pt>
              <c:pt idx="367">
                <c:v>2161.9140508608648</c:v>
              </c:pt>
              <c:pt idx="368">
                <c:v>2167.8047447464355</c:v>
              </c:pt>
              <c:pt idx="369">
                <c:v>2173.6954386320062</c:v>
              </c:pt>
              <c:pt idx="370">
                <c:v>2179.586132517577</c:v>
              </c:pt>
              <c:pt idx="371">
                <c:v>2185.4768264031472</c:v>
              </c:pt>
              <c:pt idx="372">
                <c:v>2191.367520288718</c:v>
              </c:pt>
              <c:pt idx="373">
                <c:v>2197.2582141742887</c:v>
              </c:pt>
              <c:pt idx="374">
                <c:v>2203.148908059859</c:v>
              </c:pt>
              <c:pt idx="375">
                <c:v>2209.0396019454297</c:v>
              </c:pt>
              <c:pt idx="376">
                <c:v>2214.9302958310009</c:v>
              </c:pt>
              <c:pt idx="377">
                <c:v>2220.8209897165711</c:v>
              </c:pt>
              <c:pt idx="378">
                <c:v>2226.7116836021414</c:v>
              </c:pt>
              <c:pt idx="379">
                <c:v>2232.6023774877126</c:v>
              </c:pt>
              <c:pt idx="380">
                <c:v>2238.4930713732833</c:v>
              </c:pt>
              <c:pt idx="381">
                <c:v>2244.3837652588536</c:v>
              </c:pt>
              <c:pt idx="382">
                <c:v>2250.2744591444248</c:v>
              </c:pt>
              <c:pt idx="383">
                <c:v>2256.1651530299955</c:v>
              </c:pt>
              <c:pt idx="384">
                <c:v>2262.0558469155658</c:v>
              </c:pt>
              <c:pt idx="385">
                <c:v>2267.9465408011361</c:v>
              </c:pt>
              <c:pt idx="386">
                <c:v>2273.8372346867072</c:v>
              </c:pt>
              <c:pt idx="387">
                <c:v>2279.7279285722775</c:v>
              </c:pt>
              <c:pt idx="388">
                <c:v>2285.6186224578482</c:v>
              </c:pt>
              <c:pt idx="389">
                <c:v>2291.5093163434194</c:v>
              </c:pt>
              <c:pt idx="390">
                <c:v>2297.4000102289901</c:v>
              </c:pt>
              <c:pt idx="391">
                <c:v>2303.2907041145604</c:v>
              </c:pt>
              <c:pt idx="392">
                <c:v>2309.1813980001307</c:v>
              </c:pt>
              <c:pt idx="393">
                <c:v>2315.072091885701</c:v>
              </c:pt>
              <c:pt idx="394">
                <c:v>2320.9627857712721</c:v>
              </c:pt>
              <c:pt idx="395">
                <c:v>2326.8534796568429</c:v>
              </c:pt>
              <c:pt idx="396">
                <c:v>2332.7441735424136</c:v>
              </c:pt>
              <c:pt idx="397">
                <c:v>2338.6348674279843</c:v>
              </c:pt>
              <c:pt idx="398">
                <c:v>2344.5255613135546</c:v>
              </c:pt>
              <c:pt idx="399">
                <c:v>2350.4162551991253</c:v>
              </c:pt>
              <c:pt idx="400">
                <c:v>2356.306949084696</c:v>
              </c:pt>
              <c:pt idx="401">
                <c:v>2362.1976429702672</c:v>
              </c:pt>
              <c:pt idx="402">
                <c:v>2368.088336855838</c:v>
              </c:pt>
              <c:pt idx="403">
                <c:v>2373.9790307414082</c:v>
              </c:pt>
              <c:pt idx="404">
                <c:v>2379.8697246269785</c:v>
              </c:pt>
              <c:pt idx="405">
                <c:v>2385.7604185125492</c:v>
              </c:pt>
              <c:pt idx="406">
                <c:v>2391.6511123981199</c:v>
              </c:pt>
              <c:pt idx="407">
                <c:v>2397.5418062836907</c:v>
              </c:pt>
              <c:pt idx="408">
                <c:v>2403.4325001692614</c:v>
              </c:pt>
              <c:pt idx="409">
                <c:v>2409.3231940548321</c:v>
              </c:pt>
              <c:pt idx="410">
                <c:v>2415.2138879404024</c:v>
              </c:pt>
              <c:pt idx="411">
                <c:v>2421.1045818259731</c:v>
              </c:pt>
              <c:pt idx="412">
                <c:v>2426.9952757115439</c:v>
              </c:pt>
              <c:pt idx="413">
                <c:v>2432.8859695971141</c:v>
              </c:pt>
              <c:pt idx="414">
                <c:v>2438.7766634826853</c:v>
              </c:pt>
              <c:pt idx="415">
                <c:v>2444.6673573682556</c:v>
              </c:pt>
              <c:pt idx="416">
                <c:v>2450.5580512538268</c:v>
              </c:pt>
              <c:pt idx="417">
                <c:v>2456.448745139397</c:v>
              </c:pt>
              <c:pt idx="418">
                <c:v>2462.3394390249678</c:v>
              </c:pt>
              <c:pt idx="419">
                <c:v>2468.230132910538</c:v>
              </c:pt>
              <c:pt idx="420">
                <c:v>2474.1208267961092</c:v>
              </c:pt>
              <c:pt idx="421">
                <c:v>2480.0115206816799</c:v>
              </c:pt>
              <c:pt idx="422">
                <c:v>2485.9022145672507</c:v>
              </c:pt>
              <c:pt idx="423">
                <c:v>2491.7929084528209</c:v>
              </c:pt>
              <c:pt idx="424">
                <c:v>2497.6836023383917</c:v>
              </c:pt>
              <c:pt idx="425">
                <c:v>2503.5742962239619</c:v>
              </c:pt>
              <c:pt idx="426">
                <c:v>2509.4649901095327</c:v>
              </c:pt>
              <c:pt idx="427">
                <c:v>2515.3556839951038</c:v>
              </c:pt>
              <c:pt idx="428">
                <c:v>2521.2463778806746</c:v>
              </c:pt>
              <c:pt idx="429">
                <c:v>2527.1370717662453</c:v>
              </c:pt>
              <c:pt idx="430">
                <c:v>2533.0277656518156</c:v>
              </c:pt>
              <c:pt idx="431">
                <c:v>2538.9184595373863</c:v>
              </c:pt>
              <c:pt idx="432">
                <c:v>2544.809153422957</c:v>
              </c:pt>
              <c:pt idx="433">
                <c:v>2550.6998473085278</c:v>
              </c:pt>
              <c:pt idx="434">
                <c:v>2556.590541194098</c:v>
              </c:pt>
              <c:pt idx="435">
                <c:v>2562.4812350796692</c:v>
              </c:pt>
              <c:pt idx="436">
                <c:v>2568.3719289652395</c:v>
              </c:pt>
              <c:pt idx="437">
                <c:v>2574.2626228508097</c:v>
              </c:pt>
              <c:pt idx="438">
                <c:v>2580.1533167363805</c:v>
              </c:pt>
              <c:pt idx="439">
                <c:v>2586.0440106219512</c:v>
              </c:pt>
              <c:pt idx="440">
                <c:v>2591.9347045075224</c:v>
              </c:pt>
              <c:pt idx="441">
                <c:v>2597.8253983930931</c:v>
              </c:pt>
              <c:pt idx="442">
                <c:v>2603.7160922786634</c:v>
              </c:pt>
              <c:pt idx="443">
                <c:v>2609.6067861642341</c:v>
              </c:pt>
              <c:pt idx="444">
                <c:v>2615.4974800498044</c:v>
              </c:pt>
              <c:pt idx="445">
                <c:v>2621.3881739353751</c:v>
              </c:pt>
              <c:pt idx="446">
                <c:v>2627.2788678209454</c:v>
              </c:pt>
              <c:pt idx="447">
                <c:v>2633.169561706517</c:v>
              </c:pt>
              <c:pt idx="448">
                <c:v>2639.0602555920873</c:v>
              </c:pt>
              <c:pt idx="449">
                <c:v>2644.9509494776576</c:v>
              </c:pt>
              <c:pt idx="450">
                <c:v>2650.8416433632287</c:v>
              </c:pt>
              <c:pt idx="451">
                <c:v>2656.732337248799</c:v>
              </c:pt>
              <c:pt idx="452">
                <c:v>2662.6230311343697</c:v>
              </c:pt>
              <c:pt idx="453">
                <c:v>2668.51372501994</c:v>
              </c:pt>
              <c:pt idx="454">
                <c:v>2674.4044189055112</c:v>
              </c:pt>
              <c:pt idx="455">
                <c:v>2680.2951127910819</c:v>
              </c:pt>
              <c:pt idx="456">
                <c:v>2686.1858066766522</c:v>
              </c:pt>
              <c:pt idx="457">
                <c:v>2692.0765005622229</c:v>
              </c:pt>
              <c:pt idx="458">
                <c:v>2697.9671944477936</c:v>
              </c:pt>
              <c:pt idx="459">
                <c:v>2703.8578883333644</c:v>
              </c:pt>
              <c:pt idx="460">
                <c:v>2709.7485822189346</c:v>
              </c:pt>
              <c:pt idx="461">
                <c:v>2715.6392761045063</c:v>
              </c:pt>
              <c:pt idx="462">
                <c:v>2721.5299699900766</c:v>
              </c:pt>
              <c:pt idx="463">
                <c:v>2727.4206638756468</c:v>
              </c:pt>
              <c:pt idx="464">
                <c:v>2733.3113577612171</c:v>
              </c:pt>
              <c:pt idx="465">
                <c:v>2739.2020516467878</c:v>
              </c:pt>
              <c:pt idx="466">
                <c:v>2745.0927455323585</c:v>
              </c:pt>
              <c:pt idx="467">
                <c:v>2750.9834394179297</c:v>
              </c:pt>
              <c:pt idx="468">
                <c:v>2756.8741333035005</c:v>
              </c:pt>
              <c:pt idx="469">
                <c:v>2762.7648271890707</c:v>
              </c:pt>
              <c:pt idx="470">
                <c:v>2768.6555210746415</c:v>
              </c:pt>
              <c:pt idx="471">
                <c:v>2774.5462149602122</c:v>
              </c:pt>
              <c:pt idx="472">
                <c:v>2780.4369088457825</c:v>
              </c:pt>
              <c:pt idx="473">
                <c:v>2786.3276027313532</c:v>
              </c:pt>
              <c:pt idx="474">
                <c:v>2792.2182966169244</c:v>
              </c:pt>
              <c:pt idx="475">
                <c:v>2798.1089905024946</c:v>
              </c:pt>
              <c:pt idx="476">
                <c:v>2803.9996843880649</c:v>
              </c:pt>
              <c:pt idx="477">
                <c:v>2809.8903782736361</c:v>
              </c:pt>
              <c:pt idx="478">
                <c:v>2815.7810721592064</c:v>
              </c:pt>
              <c:pt idx="479">
                <c:v>2821.6717660447771</c:v>
              </c:pt>
              <c:pt idx="480">
                <c:v>2827.5624599303478</c:v>
              </c:pt>
              <c:pt idx="481">
                <c:v>2833.4531538159181</c:v>
              </c:pt>
              <c:pt idx="482">
                <c:v>2839.3438477014893</c:v>
              </c:pt>
              <c:pt idx="483">
                <c:v>2845.2345415870595</c:v>
              </c:pt>
              <c:pt idx="484">
                <c:v>2851.1252354726303</c:v>
              </c:pt>
              <c:pt idx="485">
                <c:v>2857.015929358201</c:v>
              </c:pt>
              <c:pt idx="486">
                <c:v>2862.9066232437717</c:v>
              </c:pt>
              <c:pt idx="487">
                <c:v>2868.797317129342</c:v>
              </c:pt>
              <c:pt idx="488">
                <c:v>2874.6880110149123</c:v>
              </c:pt>
              <c:pt idx="489">
                <c:v>2880.5787049004839</c:v>
              </c:pt>
              <c:pt idx="490">
                <c:v>2886.4693987860542</c:v>
              </c:pt>
              <c:pt idx="491">
                <c:v>2892.3600926716249</c:v>
              </c:pt>
              <c:pt idx="492">
                <c:v>2898.2507865571956</c:v>
              </c:pt>
              <c:pt idx="493">
                <c:v>2904.1414804427659</c:v>
              </c:pt>
              <c:pt idx="494">
                <c:v>2910.0321743283366</c:v>
              </c:pt>
              <c:pt idx="495">
                <c:v>2915.9228682139069</c:v>
              </c:pt>
              <c:pt idx="496">
                <c:v>2921.8135620994781</c:v>
              </c:pt>
              <c:pt idx="497">
                <c:v>2927.7042559850488</c:v>
              </c:pt>
              <c:pt idx="498">
                <c:v>2933.5949498706195</c:v>
              </c:pt>
              <c:pt idx="499">
                <c:v>2939.4856437561898</c:v>
              </c:pt>
            </c:numLit>
          </c:yVal>
          <c:smooth val="0"/>
          <c:extLst>
            <c:ext xmlns:c16="http://schemas.microsoft.com/office/drawing/2014/chart" uri="{C3380CC4-5D6E-409C-BE32-E72D297353CC}">
              <c16:uniqueId val="{00000002-AFD5-44F5-9D83-62F81DF09D25}"/>
            </c:ext>
          </c:extLst>
        </c:ser>
        <c:dLbls>
          <c:showLegendKey val="0"/>
          <c:showVal val="0"/>
          <c:showCatName val="0"/>
          <c:showSerName val="0"/>
          <c:showPercent val="0"/>
          <c:showBubbleSize val="0"/>
        </c:dLbls>
        <c:axId val="619218464"/>
        <c:axId val="619213216"/>
      </c:scatterChart>
      <c:valAx>
        <c:axId val="61921846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to weight ratio</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13216"/>
        <c:crosses val="autoZero"/>
        <c:crossBetween val="midCat"/>
      </c:valAx>
      <c:valAx>
        <c:axId val="61921321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impulsive delta V [m/s]</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1846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Thrust to weight ratio vs thrust level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TankvsSpacecraftMass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500"/>
              <c:pt idx="0">
                <c:v>1.0000000000000001E-5</c:v>
              </c:pt>
              <c:pt idx="1">
                <c:v>2.013987975951904E-3</c:v>
              </c:pt>
              <c:pt idx="2">
                <c:v>4.0179759519038075E-3</c:v>
              </c:pt>
              <c:pt idx="3">
                <c:v>6.0219639278557115E-3</c:v>
              </c:pt>
              <c:pt idx="4">
                <c:v>8.0259519038076155E-3</c:v>
              </c:pt>
              <c:pt idx="5">
                <c:v>1.002993987975952E-2</c:v>
              </c:pt>
              <c:pt idx="6">
                <c:v>1.2033927855711423E-2</c:v>
              </c:pt>
              <c:pt idx="7">
                <c:v>1.4037915831663328E-2</c:v>
              </c:pt>
              <c:pt idx="8">
                <c:v>1.6041903807615231E-2</c:v>
              </c:pt>
              <c:pt idx="9">
                <c:v>1.8045891783567136E-2</c:v>
              </c:pt>
              <c:pt idx="10">
                <c:v>2.0049879759519041E-2</c:v>
              </c:pt>
              <c:pt idx="11">
                <c:v>2.2053867735470942E-2</c:v>
              </c:pt>
              <c:pt idx="12">
                <c:v>2.4057855711422847E-2</c:v>
              </c:pt>
              <c:pt idx="13">
                <c:v>2.6061843687374752E-2</c:v>
              </c:pt>
              <c:pt idx="14">
                <c:v>2.8065831663326657E-2</c:v>
              </c:pt>
              <c:pt idx="15">
                <c:v>3.0069819639278558E-2</c:v>
              </c:pt>
              <c:pt idx="16">
                <c:v>3.2073807615230467E-2</c:v>
              </c:pt>
              <c:pt idx="17">
                <c:v>3.4077795591182368E-2</c:v>
              </c:pt>
              <c:pt idx="18">
                <c:v>3.6081783567134269E-2</c:v>
              </c:pt>
              <c:pt idx="19">
                <c:v>3.8085771543086178E-2</c:v>
              </c:pt>
              <c:pt idx="20">
                <c:v>4.0089759519038079E-2</c:v>
              </c:pt>
              <c:pt idx="21">
                <c:v>4.209374749498998E-2</c:v>
              </c:pt>
              <c:pt idx="22">
                <c:v>4.4097735470941889E-2</c:v>
              </c:pt>
              <c:pt idx="23">
                <c:v>4.610172344689379E-2</c:v>
              </c:pt>
              <c:pt idx="24">
                <c:v>4.8105711422845698E-2</c:v>
              </c:pt>
              <c:pt idx="25">
                <c:v>5.01096993987976E-2</c:v>
              </c:pt>
              <c:pt idx="26">
                <c:v>5.2113687374749501E-2</c:v>
              </c:pt>
              <c:pt idx="27">
                <c:v>5.4117675350701409E-2</c:v>
              </c:pt>
              <c:pt idx="28">
                <c:v>5.6121663326653311E-2</c:v>
              </c:pt>
              <c:pt idx="29">
                <c:v>5.8125651302605212E-2</c:v>
              </c:pt>
              <c:pt idx="30">
                <c:v>6.012963927855712E-2</c:v>
              </c:pt>
              <c:pt idx="31">
                <c:v>6.2133627254509022E-2</c:v>
              </c:pt>
              <c:pt idx="32">
                <c:v>6.4137615230460923E-2</c:v>
              </c:pt>
              <c:pt idx="33">
                <c:v>6.6141603206412825E-2</c:v>
              </c:pt>
              <c:pt idx="34">
                <c:v>6.814559118236474E-2</c:v>
              </c:pt>
              <c:pt idx="35">
                <c:v>7.0149579158316641E-2</c:v>
              </c:pt>
              <c:pt idx="36">
                <c:v>7.2153567134268543E-2</c:v>
              </c:pt>
              <c:pt idx="37">
                <c:v>7.4157555110220444E-2</c:v>
              </c:pt>
              <c:pt idx="38">
                <c:v>7.6161543086172345E-2</c:v>
              </c:pt>
              <c:pt idx="39">
                <c:v>7.816553106212426E-2</c:v>
              </c:pt>
              <c:pt idx="40">
                <c:v>8.0169519038076162E-2</c:v>
              </c:pt>
              <c:pt idx="41">
                <c:v>8.2173507014028063E-2</c:v>
              </c:pt>
              <c:pt idx="42">
                <c:v>8.4177494989979965E-2</c:v>
              </c:pt>
              <c:pt idx="43">
                <c:v>8.6181482965931866E-2</c:v>
              </c:pt>
              <c:pt idx="44">
                <c:v>8.8185470941883781E-2</c:v>
              </c:pt>
              <c:pt idx="45">
                <c:v>9.0189458917835683E-2</c:v>
              </c:pt>
              <c:pt idx="46">
                <c:v>9.2193446893787584E-2</c:v>
              </c:pt>
              <c:pt idx="47">
                <c:v>9.4197434869739485E-2</c:v>
              </c:pt>
              <c:pt idx="48">
                <c:v>9.6201422845691387E-2</c:v>
              </c:pt>
              <c:pt idx="49">
                <c:v>9.8205410821643288E-2</c:v>
              </c:pt>
              <c:pt idx="50">
                <c:v>0.1002093987975952</c:v>
              </c:pt>
              <c:pt idx="51">
                <c:v>0.1022133867735471</c:v>
              </c:pt>
              <c:pt idx="52">
                <c:v>0.10421737474949901</c:v>
              </c:pt>
              <c:pt idx="53">
                <c:v>0.10622136272545091</c:v>
              </c:pt>
              <c:pt idx="54">
                <c:v>0.10822535070140281</c:v>
              </c:pt>
              <c:pt idx="55">
                <c:v>0.11022933867735472</c:v>
              </c:pt>
              <c:pt idx="56">
                <c:v>0.11223332665330663</c:v>
              </c:pt>
              <c:pt idx="57">
                <c:v>0.11423731462925853</c:v>
              </c:pt>
              <c:pt idx="58">
                <c:v>0.11624130260521043</c:v>
              </c:pt>
              <c:pt idx="59">
                <c:v>0.11824529058116233</c:v>
              </c:pt>
              <c:pt idx="60">
                <c:v>0.12024927855711424</c:v>
              </c:pt>
              <c:pt idx="61">
                <c:v>0.12225326653306615</c:v>
              </c:pt>
              <c:pt idx="62">
                <c:v>0.12425725450901805</c:v>
              </c:pt>
              <c:pt idx="63">
                <c:v>0.12626124248496995</c:v>
              </c:pt>
              <c:pt idx="64">
                <c:v>0.12826523046092186</c:v>
              </c:pt>
              <c:pt idx="65">
                <c:v>0.13026921843687375</c:v>
              </c:pt>
              <c:pt idx="66">
                <c:v>0.13227320641282567</c:v>
              </c:pt>
              <c:pt idx="67">
                <c:v>0.13427719438877755</c:v>
              </c:pt>
              <c:pt idx="68">
                <c:v>0.13628118236472947</c:v>
              </c:pt>
              <c:pt idx="69">
                <c:v>0.13828517034068138</c:v>
              </c:pt>
              <c:pt idx="70">
                <c:v>0.14028915831663327</c:v>
              </c:pt>
              <c:pt idx="71">
                <c:v>0.14229314629258519</c:v>
              </c:pt>
              <c:pt idx="72">
                <c:v>0.14429713426853708</c:v>
              </c:pt>
              <c:pt idx="73">
                <c:v>0.14630112224448899</c:v>
              </c:pt>
              <c:pt idx="74">
                <c:v>0.14830511022044091</c:v>
              </c:pt>
              <c:pt idx="75">
                <c:v>0.15030909819639279</c:v>
              </c:pt>
              <c:pt idx="76">
                <c:v>0.15231308617234471</c:v>
              </c:pt>
              <c:pt idx="77">
                <c:v>0.1543170741482966</c:v>
              </c:pt>
              <c:pt idx="78">
                <c:v>0.15632106212424851</c:v>
              </c:pt>
              <c:pt idx="79">
                <c:v>0.15832505010020043</c:v>
              </c:pt>
              <c:pt idx="80">
                <c:v>0.16032903807615231</c:v>
              </c:pt>
              <c:pt idx="81">
                <c:v>0.16233302605210423</c:v>
              </c:pt>
              <c:pt idx="82">
                <c:v>0.16433701402805612</c:v>
              </c:pt>
              <c:pt idx="83">
                <c:v>0.16634100200400803</c:v>
              </c:pt>
              <c:pt idx="84">
                <c:v>0.16834498997995995</c:v>
              </c:pt>
              <c:pt idx="85">
                <c:v>0.17034897795591183</c:v>
              </c:pt>
              <c:pt idx="86">
                <c:v>0.17235296593186375</c:v>
              </c:pt>
              <c:pt idx="87">
                <c:v>0.17435695390781564</c:v>
              </c:pt>
              <c:pt idx="88">
                <c:v>0.17636094188376755</c:v>
              </c:pt>
              <c:pt idx="89">
                <c:v>0.17836492985971944</c:v>
              </c:pt>
              <c:pt idx="90">
                <c:v>0.18036891783567136</c:v>
              </c:pt>
              <c:pt idx="91">
                <c:v>0.18237290581162327</c:v>
              </c:pt>
              <c:pt idx="92">
                <c:v>0.18437689378757516</c:v>
              </c:pt>
              <c:pt idx="93">
                <c:v>0.18638088176352707</c:v>
              </c:pt>
              <c:pt idx="94">
                <c:v>0.18838486973947896</c:v>
              </c:pt>
              <c:pt idx="95">
                <c:v>0.19038885771543088</c:v>
              </c:pt>
              <c:pt idx="96">
                <c:v>0.19239284569138279</c:v>
              </c:pt>
              <c:pt idx="97">
                <c:v>0.19439683366733468</c:v>
              </c:pt>
              <c:pt idx="98">
                <c:v>0.19640082164328659</c:v>
              </c:pt>
              <c:pt idx="99">
                <c:v>0.19840480961923848</c:v>
              </c:pt>
              <c:pt idx="100">
                <c:v>0.2004087975951904</c:v>
              </c:pt>
              <c:pt idx="101">
                <c:v>0.20241278557114231</c:v>
              </c:pt>
              <c:pt idx="102">
                <c:v>0.2044167735470942</c:v>
              </c:pt>
              <c:pt idx="103">
                <c:v>0.20642076152304611</c:v>
              </c:pt>
              <c:pt idx="104">
                <c:v>0.208424749498998</c:v>
              </c:pt>
              <c:pt idx="105">
                <c:v>0.21042873747494992</c:v>
              </c:pt>
              <c:pt idx="106">
                <c:v>0.21243272545090183</c:v>
              </c:pt>
              <c:pt idx="107">
                <c:v>0.21443671342685372</c:v>
              </c:pt>
              <c:pt idx="108">
                <c:v>0.21644070140280564</c:v>
              </c:pt>
              <c:pt idx="109">
                <c:v>0.21844468937875752</c:v>
              </c:pt>
              <c:pt idx="110">
                <c:v>0.22044867735470944</c:v>
              </c:pt>
              <c:pt idx="111">
                <c:v>0.22245266533066135</c:v>
              </c:pt>
              <c:pt idx="112">
                <c:v>0.22445665330661324</c:v>
              </c:pt>
              <c:pt idx="113">
                <c:v>0.22646064128256516</c:v>
              </c:pt>
              <c:pt idx="114">
                <c:v>0.22846462925851704</c:v>
              </c:pt>
              <c:pt idx="115">
                <c:v>0.23046861723446896</c:v>
              </c:pt>
              <c:pt idx="116">
                <c:v>0.23247260521042087</c:v>
              </c:pt>
              <c:pt idx="117">
                <c:v>0.23447659318637276</c:v>
              </c:pt>
              <c:pt idx="118">
                <c:v>0.23648058116232468</c:v>
              </c:pt>
              <c:pt idx="119">
                <c:v>0.23848456913827656</c:v>
              </c:pt>
              <c:pt idx="120">
                <c:v>0.24048855711422848</c:v>
              </c:pt>
              <c:pt idx="121">
                <c:v>0.24249254509018037</c:v>
              </c:pt>
              <c:pt idx="122">
                <c:v>0.24449653306613228</c:v>
              </c:pt>
              <c:pt idx="123">
                <c:v>0.2465005210420842</c:v>
              </c:pt>
              <c:pt idx="124">
                <c:v>0.24850450901803608</c:v>
              </c:pt>
              <c:pt idx="125">
                <c:v>0.25050849699398797</c:v>
              </c:pt>
              <c:pt idx="126">
                <c:v>0.25251248496993989</c:v>
              </c:pt>
              <c:pt idx="127">
                <c:v>0.2545164729458918</c:v>
              </c:pt>
              <c:pt idx="128">
                <c:v>0.25652046092184372</c:v>
              </c:pt>
              <c:pt idx="129">
                <c:v>0.25852444889779563</c:v>
              </c:pt>
              <c:pt idx="130">
                <c:v>0.26052843687374749</c:v>
              </c:pt>
              <c:pt idx="131">
                <c:v>0.26253242484969941</c:v>
              </c:pt>
              <c:pt idx="132">
                <c:v>0.26453641282565132</c:v>
              </c:pt>
              <c:pt idx="133">
                <c:v>0.26654040080160324</c:v>
              </c:pt>
              <c:pt idx="134">
                <c:v>0.26854438877755515</c:v>
              </c:pt>
              <c:pt idx="135">
                <c:v>0.27054837675350701</c:v>
              </c:pt>
              <c:pt idx="136">
                <c:v>0.27255236472945893</c:v>
              </c:pt>
              <c:pt idx="137">
                <c:v>0.27455635270541084</c:v>
              </c:pt>
              <c:pt idx="138">
                <c:v>0.27656034068136276</c:v>
              </c:pt>
              <c:pt idx="139">
                <c:v>0.27856432865731467</c:v>
              </c:pt>
              <c:pt idx="140">
                <c:v>0.28056831663326653</c:v>
              </c:pt>
              <c:pt idx="141">
                <c:v>0.28257230460921845</c:v>
              </c:pt>
              <c:pt idx="142">
                <c:v>0.28457629258517037</c:v>
              </c:pt>
              <c:pt idx="143">
                <c:v>0.28658028056112228</c:v>
              </c:pt>
              <c:pt idx="144">
                <c:v>0.2885842685370742</c:v>
              </c:pt>
              <c:pt idx="145">
                <c:v>0.29058825651302606</c:v>
              </c:pt>
              <c:pt idx="146">
                <c:v>0.29259224448897797</c:v>
              </c:pt>
              <c:pt idx="147">
                <c:v>0.29459623246492989</c:v>
              </c:pt>
              <c:pt idx="148">
                <c:v>0.2966002204408818</c:v>
              </c:pt>
              <c:pt idx="149">
                <c:v>0.29860420841683372</c:v>
              </c:pt>
              <c:pt idx="150">
                <c:v>0.30060819639278558</c:v>
              </c:pt>
              <c:pt idx="151">
                <c:v>0.30261218436873749</c:v>
              </c:pt>
              <c:pt idx="152">
                <c:v>0.30461617234468941</c:v>
              </c:pt>
              <c:pt idx="153">
                <c:v>0.30662016032064132</c:v>
              </c:pt>
              <c:pt idx="154">
                <c:v>0.30862414829659324</c:v>
              </c:pt>
              <c:pt idx="155">
                <c:v>0.3106281362725451</c:v>
              </c:pt>
              <c:pt idx="156">
                <c:v>0.31263212424849701</c:v>
              </c:pt>
              <c:pt idx="157">
                <c:v>0.31463611222444893</c:v>
              </c:pt>
              <c:pt idx="158">
                <c:v>0.31664010020040084</c:v>
              </c:pt>
              <c:pt idx="159">
                <c:v>0.31864408817635276</c:v>
              </c:pt>
              <c:pt idx="160">
                <c:v>0.32064807615230462</c:v>
              </c:pt>
              <c:pt idx="161">
                <c:v>0.32265206412825653</c:v>
              </c:pt>
              <c:pt idx="162">
                <c:v>0.32465605210420845</c:v>
              </c:pt>
              <c:pt idx="163">
                <c:v>0.32666004008016036</c:v>
              </c:pt>
              <c:pt idx="164">
                <c:v>0.32866402805611228</c:v>
              </c:pt>
              <c:pt idx="165">
                <c:v>0.33066801603206414</c:v>
              </c:pt>
              <c:pt idx="166">
                <c:v>0.33267200400801605</c:v>
              </c:pt>
              <c:pt idx="167">
                <c:v>0.33467599198396797</c:v>
              </c:pt>
              <c:pt idx="168">
                <c:v>0.33667997995991988</c:v>
              </c:pt>
              <c:pt idx="169">
                <c:v>0.33868396793587174</c:v>
              </c:pt>
              <c:pt idx="170">
                <c:v>0.34068795591182366</c:v>
              </c:pt>
              <c:pt idx="171">
                <c:v>0.34269194388777557</c:v>
              </c:pt>
              <c:pt idx="172">
                <c:v>0.34469593186372749</c:v>
              </c:pt>
              <c:pt idx="173">
                <c:v>0.3466999198396794</c:v>
              </c:pt>
              <c:pt idx="174">
                <c:v>0.34870390781563126</c:v>
              </c:pt>
              <c:pt idx="175">
                <c:v>0.35070789579158318</c:v>
              </c:pt>
              <c:pt idx="176">
                <c:v>0.35271188376753509</c:v>
              </c:pt>
              <c:pt idx="177">
                <c:v>0.35471587174348701</c:v>
              </c:pt>
              <c:pt idx="178">
                <c:v>0.35671985971943893</c:v>
              </c:pt>
              <c:pt idx="179">
                <c:v>0.35872384769539079</c:v>
              </c:pt>
              <c:pt idx="180">
                <c:v>0.3607278356713427</c:v>
              </c:pt>
              <c:pt idx="181">
                <c:v>0.36273182364729462</c:v>
              </c:pt>
              <c:pt idx="182">
                <c:v>0.36473581162324653</c:v>
              </c:pt>
              <c:pt idx="183">
                <c:v>0.36673979959919845</c:v>
              </c:pt>
              <c:pt idx="184">
                <c:v>0.36874378757515031</c:v>
              </c:pt>
              <c:pt idx="185">
                <c:v>0.37074777555110222</c:v>
              </c:pt>
              <c:pt idx="186">
                <c:v>0.37275176352705414</c:v>
              </c:pt>
              <c:pt idx="187">
                <c:v>0.37475575150300605</c:v>
              </c:pt>
              <c:pt idx="188">
                <c:v>0.37675973947895797</c:v>
              </c:pt>
              <c:pt idx="189">
                <c:v>0.37876372745490983</c:v>
              </c:pt>
              <c:pt idx="190">
                <c:v>0.38076771543086174</c:v>
              </c:pt>
              <c:pt idx="191">
                <c:v>0.38277170340681366</c:v>
              </c:pt>
              <c:pt idx="192">
                <c:v>0.38477569138276557</c:v>
              </c:pt>
              <c:pt idx="193">
                <c:v>0.38677967935871749</c:v>
              </c:pt>
              <c:pt idx="194">
                <c:v>0.38878366733466935</c:v>
              </c:pt>
              <c:pt idx="195">
                <c:v>0.39078765531062126</c:v>
              </c:pt>
              <c:pt idx="196">
                <c:v>0.39279164328657318</c:v>
              </c:pt>
              <c:pt idx="197">
                <c:v>0.39479563126252509</c:v>
              </c:pt>
              <c:pt idx="198">
                <c:v>0.39679961923847701</c:v>
              </c:pt>
              <c:pt idx="199">
                <c:v>0.39880360721442887</c:v>
              </c:pt>
              <c:pt idx="200">
                <c:v>0.40080759519038078</c:v>
              </c:pt>
              <c:pt idx="201">
                <c:v>0.4028115831663327</c:v>
              </c:pt>
              <c:pt idx="202">
                <c:v>0.40481557114228461</c:v>
              </c:pt>
              <c:pt idx="203">
                <c:v>0.40681955911823653</c:v>
              </c:pt>
              <c:pt idx="204">
                <c:v>0.40882354709418839</c:v>
              </c:pt>
              <c:pt idx="205">
                <c:v>0.4108275350701403</c:v>
              </c:pt>
              <c:pt idx="206">
                <c:v>0.41283152304609222</c:v>
              </c:pt>
              <c:pt idx="207">
                <c:v>0.41483551102204413</c:v>
              </c:pt>
              <c:pt idx="208">
                <c:v>0.41683949899799605</c:v>
              </c:pt>
              <c:pt idx="209">
                <c:v>0.41884348697394791</c:v>
              </c:pt>
              <c:pt idx="210">
                <c:v>0.42084747494989982</c:v>
              </c:pt>
              <c:pt idx="211">
                <c:v>0.42285146292585174</c:v>
              </c:pt>
              <c:pt idx="212">
                <c:v>0.42485545090180366</c:v>
              </c:pt>
              <c:pt idx="213">
                <c:v>0.42685943887775557</c:v>
              </c:pt>
              <c:pt idx="214">
                <c:v>0.42886342685370743</c:v>
              </c:pt>
              <c:pt idx="215">
                <c:v>0.43086741482965935</c:v>
              </c:pt>
              <c:pt idx="216">
                <c:v>0.43287140280561126</c:v>
              </c:pt>
              <c:pt idx="217">
                <c:v>0.43487539078156318</c:v>
              </c:pt>
              <c:pt idx="218">
                <c:v>0.43687937875751509</c:v>
              </c:pt>
              <c:pt idx="219">
                <c:v>0.43888336673346695</c:v>
              </c:pt>
              <c:pt idx="220">
                <c:v>0.44088735470941887</c:v>
              </c:pt>
              <c:pt idx="221">
                <c:v>0.44289134268537078</c:v>
              </c:pt>
              <c:pt idx="222">
                <c:v>0.4448953306613227</c:v>
              </c:pt>
              <c:pt idx="223">
                <c:v>0.44689931863727461</c:v>
              </c:pt>
              <c:pt idx="224">
                <c:v>0.44890330661322647</c:v>
              </c:pt>
              <c:pt idx="225">
                <c:v>0.45090729458917839</c:v>
              </c:pt>
              <c:pt idx="226">
                <c:v>0.4529112825651303</c:v>
              </c:pt>
              <c:pt idx="227">
                <c:v>0.45491527054108222</c:v>
              </c:pt>
              <c:pt idx="228">
                <c:v>0.45691925851703413</c:v>
              </c:pt>
              <c:pt idx="229">
                <c:v>0.45892324649298599</c:v>
              </c:pt>
              <c:pt idx="230">
                <c:v>0.46092723446893791</c:v>
              </c:pt>
              <c:pt idx="231">
                <c:v>0.46293122244488982</c:v>
              </c:pt>
              <c:pt idx="232">
                <c:v>0.46493521042084174</c:v>
              </c:pt>
              <c:pt idx="233">
                <c:v>0.4669391983967936</c:v>
              </c:pt>
              <c:pt idx="234">
                <c:v>0.46894318637274551</c:v>
              </c:pt>
              <c:pt idx="235">
                <c:v>0.47094717434869743</c:v>
              </c:pt>
              <c:pt idx="236">
                <c:v>0.47295116232464934</c:v>
              </c:pt>
              <c:pt idx="237">
                <c:v>0.47495515030060126</c:v>
              </c:pt>
              <c:pt idx="238">
                <c:v>0.47695913827655312</c:v>
              </c:pt>
              <c:pt idx="239">
                <c:v>0.47896312625250503</c:v>
              </c:pt>
              <c:pt idx="240">
                <c:v>0.48096711422845695</c:v>
              </c:pt>
              <c:pt idx="241">
                <c:v>0.48297110220440886</c:v>
              </c:pt>
              <c:pt idx="242">
                <c:v>0.48497509018036078</c:v>
              </c:pt>
              <c:pt idx="243">
                <c:v>0.48697907815631264</c:v>
              </c:pt>
              <c:pt idx="244">
                <c:v>0.48898306613226455</c:v>
              </c:pt>
              <c:pt idx="245">
                <c:v>0.49098705410821647</c:v>
              </c:pt>
              <c:pt idx="246">
                <c:v>0.49299104208416838</c:v>
              </c:pt>
              <c:pt idx="247">
                <c:v>0.4949950300601203</c:v>
              </c:pt>
              <c:pt idx="248">
                <c:v>0.49699901803607216</c:v>
              </c:pt>
              <c:pt idx="249">
                <c:v>0.49900300601202408</c:v>
              </c:pt>
              <c:pt idx="250">
                <c:v>0.50100699398797599</c:v>
              </c:pt>
              <c:pt idx="251">
                <c:v>0.50301098196392791</c:v>
              </c:pt>
              <c:pt idx="252">
                <c:v>0.50501496993987982</c:v>
              </c:pt>
              <c:pt idx="253">
                <c:v>0.50701895791583174</c:v>
              </c:pt>
              <c:pt idx="254">
                <c:v>0.50902294589178365</c:v>
              </c:pt>
              <c:pt idx="255">
                <c:v>0.51102693386773557</c:v>
              </c:pt>
              <c:pt idx="256">
                <c:v>0.51303092184368737</c:v>
              </c:pt>
              <c:pt idx="257">
                <c:v>0.51503490981963929</c:v>
              </c:pt>
              <c:pt idx="258">
                <c:v>0.5170388977955912</c:v>
              </c:pt>
              <c:pt idx="259">
                <c:v>0.51904288577154312</c:v>
              </c:pt>
              <c:pt idx="260">
                <c:v>0.52104687374749503</c:v>
              </c:pt>
              <c:pt idx="261">
                <c:v>0.52305086172344695</c:v>
              </c:pt>
              <c:pt idx="262">
                <c:v>0.52505484969939886</c:v>
              </c:pt>
              <c:pt idx="263">
                <c:v>0.52705883767535078</c:v>
              </c:pt>
              <c:pt idx="264">
                <c:v>0.52906282565130269</c:v>
              </c:pt>
              <c:pt idx="265">
                <c:v>0.5310668136272545</c:v>
              </c:pt>
              <c:pt idx="266">
                <c:v>0.53307080160320641</c:v>
              </c:pt>
              <c:pt idx="267">
                <c:v>0.53507478957915833</c:v>
              </c:pt>
              <c:pt idx="268">
                <c:v>0.53707877755511024</c:v>
              </c:pt>
              <c:pt idx="269">
                <c:v>0.53908276553106216</c:v>
              </c:pt>
              <c:pt idx="270">
                <c:v>0.54108675350701407</c:v>
              </c:pt>
              <c:pt idx="271">
                <c:v>0.54309074148296599</c:v>
              </c:pt>
              <c:pt idx="272">
                <c:v>0.5450947294589179</c:v>
              </c:pt>
              <c:pt idx="273">
                <c:v>0.54709871743486982</c:v>
              </c:pt>
              <c:pt idx="274">
                <c:v>0.54910270541082173</c:v>
              </c:pt>
              <c:pt idx="275">
                <c:v>0.55110669338677354</c:v>
              </c:pt>
              <c:pt idx="276">
                <c:v>0.55311068136272545</c:v>
              </c:pt>
              <c:pt idx="277">
                <c:v>0.55511466933867737</c:v>
              </c:pt>
              <c:pt idx="278">
                <c:v>0.55711865731462928</c:v>
              </c:pt>
              <c:pt idx="279">
                <c:v>0.5591226452905812</c:v>
              </c:pt>
              <c:pt idx="280">
                <c:v>0.56112663326653311</c:v>
              </c:pt>
              <c:pt idx="281">
                <c:v>0.56313062124248503</c:v>
              </c:pt>
              <c:pt idx="282">
                <c:v>0.56513460921843695</c:v>
              </c:pt>
              <c:pt idx="283">
                <c:v>0.56713859719438886</c:v>
              </c:pt>
              <c:pt idx="284">
                <c:v>0.56914258517034078</c:v>
              </c:pt>
              <c:pt idx="285">
                <c:v>0.57114657314629258</c:v>
              </c:pt>
              <c:pt idx="286">
                <c:v>0.5731505611222445</c:v>
              </c:pt>
              <c:pt idx="287">
                <c:v>0.57515454909819641</c:v>
              </c:pt>
              <c:pt idx="288">
                <c:v>0.57715853707414833</c:v>
              </c:pt>
              <c:pt idx="289">
                <c:v>0.57916252505010024</c:v>
              </c:pt>
              <c:pt idx="290">
                <c:v>0.58116651302605216</c:v>
              </c:pt>
              <c:pt idx="291">
                <c:v>0.58317050100200407</c:v>
              </c:pt>
              <c:pt idx="292">
                <c:v>0.58517448897795599</c:v>
              </c:pt>
              <c:pt idx="293">
                <c:v>0.5871784769539079</c:v>
              </c:pt>
              <c:pt idx="294">
                <c:v>0.58918246492985982</c:v>
              </c:pt>
              <c:pt idx="295">
                <c:v>0.59118645290581162</c:v>
              </c:pt>
              <c:pt idx="296">
                <c:v>0.59319044088176354</c:v>
              </c:pt>
              <c:pt idx="297">
                <c:v>0.59519442885771545</c:v>
              </c:pt>
              <c:pt idx="298">
                <c:v>0.59719841683366737</c:v>
              </c:pt>
              <c:pt idx="299">
                <c:v>0.59920240480961928</c:v>
              </c:pt>
              <c:pt idx="300">
                <c:v>0.6012063927855712</c:v>
              </c:pt>
              <c:pt idx="301">
                <c:v>0.60321038076152311</c:v>
              </c:pt>
              <c:pt idx="302">
                <c:v>0.60521436873747503</c:v>
              </c:pt>
              <c:pt idx="303">
                <c:v>0.60721835671342694</c:v>
              </c:pt>
              <c:pt idx="304">
                <c:v>0.60922234468937886</c:v>
              </c:pt>
              <c:pt idx="305">
                <c:v>0.61122633266533066</c:v>
              </c:pt>
              <c:pt idx="306">
                <c:v>0.61323032064128258</c:v>
              </c:pt>
              <c:pt idx="307">
                <c:v>0.61523430861723449</c:v>
              </c:pt>
              <c:pt idx="308">
                <c:v>0.61723829659318641</c:v>
              </c:pt>
              <c:pt idx="309">
                <c:v>0.61924228456913832</c:v>
              </c:pt>
              <c:pt idx="310">
                <c:v>0.62124627254509024</c:v>
              </c:pt>
              <c:pt idx="311">
                <c:v>0.62325026052104215</c:v>
              </c:pt>
              <c:pt idx="312">
                <c:v>0.62525424849699407</c:v>
              </c:pt>
              <c:pt idx="313">
                <c:v>0.62725823647294598</c:v>
              </c:pt>
              <c:pt idx="314">
                <c:v>0.6292622244488979</c:v>
              </c:pt>
              <c:pt idx="315">
                <c:v>0.6312662124248497</c:v>
              </c:pt>
              <c:pt idx="316">
                <c:v>0.63327020040080162</c:v>
              </c:pt>
              <c:pt idx="317">
                <c:v>0.63527418837675353</c:v>
              </c:pt>
              <c:pt idx="318">
                <c:v>0.63727817635270545</c:v>
              </c:pt>
              <c:pt idx="319">
                <c:v>0.63928216432865737</c:v>
              </c:pt>
              <c:pt idx="320">
                <c:v>0.64128615230460928</c:v>
              </c:pt>
              <c:pt idx="321">
                <c:v>0.6432901402805612</c:v>
              </c:pt>
              <c:pt idx="322">
                <c:v>0.64529412825651311</c:v>
              </c:pt>
              <c:pt idx="323">
                <c:v>0.64729811623246503</c:v>
              </c:pt>
              <c:pt idx="324">
                <c:v>0.64930210420841694</c:v>
              </c:pt>
              <c:pt idx="325">
                <c:v>0.65130609218436875</c:v>
              </c:pt>
              <c:pt idx="326">
                <c:v>0.65331008016032066</c:v>
              </c:pt>
              <c:pt idx="327">
                <c:v>0.65531406813627258</c:v>
              </c:pt>
              <c:pt idx="328">
                <c:v>0.65731805611222449</c:v>
              </c:pt>
              <c:pt idx="329">
                <c:v>0.65932204408817641</c:v>
              </c:pt>
              <c:pt idx="330">
                <c:v>0.66132603206412832</c:v>
              </c:pt>
              <c:pt idx="331">
                <c:v>0.66333002004008024</c:v>
              </c:pt>
              <c:pt idx="332">
                <c:v>0.66533400801603215</c:v>
              </c:pt>
              <c:pt idx="333">
                <c:v>0.66733799599198407</c:v>
              </c:pt>
              <c:pt idx="334">
                <c:v>0.66934198396793587</c:v>
              </c:pt>
              <c:pt idx="335">
                <c:v>0.67134597194388779</c:v>
              </c:pt>
              <c:pt idx="336">
                <c:v>0.6733499599198397</c:v>
              </c:pt>
              <c:pt idx="337">
                <c:v>0.67535394789579162</c:v>
              </c:pt>
              <c:pt idx="338">
                <c:v>0.67735793587174353</c:v>
              </c:pt>
              <c:pt idx="339">
                <c:v>0.67936192384769545</c:v>
              </c:pt>
              <c:pt idx="340">
                <c:v>0.68136591182364736</c:v>
              </c:pt>
              <c:pt idx="341">
                <c:v>0.68336989979959928</c:v>
              </c:pt>
              <c:pt idx="342">
                <c:v>0.68537388777555119</c:v>
              </c:pt>
              <c:pt idx="343">
                <c:v>0.68737787575150311</c:v>
              </c:pt>
              <c:pt idx="344">
                <c:v>0.68938186372745491</c:v>
              </c:pt>
              <c:pt idx="345">
                <c:v>0.69138585170340683</c:v>
              </c:pt>
              <c:pt idx="346">
                <c:v>0.69338983967935874</c:v>
              </c:pt>
              <c:pt idx="347">
                <c:v>0.69539382765531066</c:v>
              </c:pt>
              <c:pt idx="348">
                <c:v>0.69739781563126257</c:v>
              </c:pt>
              <c:pt idx="349">
                <c:v>0.69940180360721449</c:v>
              </c:pt>
              <c:pt idx="350">
                <c:v>0.7014057915831664</c:v>
              </c:pt>
              <c:pt idx="351">
                <c:v>0.70340977955911832</c:v>
              </c:pt>
              <c:pt idx="352">
                <c:v>0.70541376753507024</c:v>
              </c:pt>
              <c:pt idx="353">
                <c:v>0.70741775551102215</c:v>
              </c:pt>
              <c:pt idx="354">
                <c:v>0.70942174348697395</c:v>
              </c:pt>
              <c:pt idx="355">
                <c:v>0.71142573146292587</c:v>
              </c:pt>
              <c:pt idx="356">
                <c:v>0.71342971943887779</c:v>
              </c:pt>
              <c:pt idx="357">
                <c:v>0.7154337074148297</c:v>
              </c:pt>
              <c:pt idx="358">
                <c:v>0.71743769539078162</c:v>
              </c:pt>
              <c:pt idx="359">
                <c:v>0.71944168336673353</c:v>
              </c:pt>
              <c:pt idx="360">
                <c:v>0.72144567134268545</c:v>
              </c:pt>
              <c:pt idx="361">
                <c:v>0.72344965931863736</c:v>
              </c:pt>
              <c:pt idx="362">
                <c:v>0.72545364729458928</c:v>
              </c:pt>
              <c:pt idx="363">
                <c:v>0.72745763527054119</c:v>
              </c:pt>
              <c:pt idx="364">
                <c:v>0.729461623246493</c:v>
              </c:pt>
              <c:pt idx="365">
                <c:v>0.73146561122244491</c:v>
              </c:pt>
              <c:pt idx="366">
                <c:v>0.73346959919839683</c:v>
              </c:pt>
              <c:pt idx="367">
                <c:v>0.73547358717434874</c:v>
              </c:pt>
              <c:pt idx="368">
                <c:v>0.73747757515030066</c:v>
              </c:pt>
              <c:pt idx="369">
                <c:v>0.73948156312625257</c:v>
              </c:pt>
              <c:pt idx="370">
                <c:v>0.74148555110220449</c:v>
              </c:pt>
              <c:pt idx="371">
                <c:v>0.7434895390781564</c:v>
              </c:pt>
              <c:pt idx="372">
                <c:v>0.74549352705410832</c:v>
              </c:pt>
              <c:pt idx="373">
                <c:v>0.74749751503006023</c:v>
              </c:pt>
              <c:pt idx="374">
                <c:v>0.74950150300601204</c:v>
              </c:pt>
              <c:pt idx="375">
                <c:v>0.75150549098196395</c:v>
              </c:pt>
              <c:pt idx="376">
                <c:v>0.75350947895791587</c:v>
              </c:pt>
              <c:pt idx="377">
                <c:v>0.75551346693386778</c:v>
              </c:pt>
              <c:pt idx="378">
                <c:v>0.7575174549098197</c:v>
              </c:pt>
              <c:pt idx="379">
                <c:v>0.75952144288577161</c:v>
              </c:pt>
              <c:pt idx="380">
                <c:v>0.76152543086172353</c:v>
              </c:pt>
              <c:pt idx="381">
                <c:v>0.76352941883767544</c:v>
              </c:pt>
              <c:pt idx="382">
                <c:v>0.76553340681362736</c:v>
              </c:pt>
              <c:pt idx="383">
                <c:v>0.76753739478957927</c:v>
              </c:pt>
              <c:pt idx="384">
                <c:v>0.76954138276553108</c:v>
              </c:pt>
              <c:pt idx="385">
                <c:v>0.77154537074148299</c:v>
              </c:pt>
              <c:pt idx="386">
                <c:v>0.77354935871743491</c:v>
              </c:pt>
              <c:pt idx="387">
                <c:v>0.77555334669338682</c:v>
              </c:pt>
              <c:pt idx="388">
                <c:v>0.77755733466933874</c:v>
              </c:pt>
              <c:pt idx="389">
                <c:v>0.77956132264529066</c:v>
              </c:pt>
              <c:pt idx="390">
                <c:v>0.78156531062124257</c:v>
              </c:pt>
              <c:pt idx="391">
                <c:v>0.78356929859719449</c:v>
              </c:pt>
              <c:pt idx="392">
                <c:v>0.7855732865731464</c:v>
              </c:pt>
              <c:pt idx="393">
                <c:v>0.78757727454909821</c:v>
              </c:pt>
              <c:pt idx="394">
                <c:v>0.78958126252505012</c:v>
              </c:pt>
              <c:pt idx="395">
                <c:v>0.79158525050100204</c:v>
              </c:pt>
              <c:pt idx="396">
                <c:v>0.79358923847695395</c:v>
              </c:pt>
              <c:pt idx="397">
                <c:v>0.79559322645290587</c:v>
              </c:pt>
              <c:pt idx="398">
                <c:v>0.79759721442885778</c:v>
              </c:pt>
              <c:pt idx="399">
                <c:v>0.7996012024048097</c:v>
              </c:pt>
              <c:pt idx="400">
                <c:v>0.80160519038076161</c:v>
              </c:pt>
              <c:pt idx="401">
                <c:v>0.80360917835671353</c:v>
              </c:pt>
              <c:pt idx="402">
                <c:v>0.80561316633266544</c:v>
              </c:pt>
              <c:pt idx="403">
                <c:v>0.80761715430861725</c:v>
              </c:pt>
              <c:pt idx="404">
                <c:v>0.80962114228456916</c:v>
              </c:pt>
              <c:pt idx="405">
                <c:v>0.81162513026052108</c:v>
              </c:pt>
              <c:pt idx="406">
                <c:v>0.81362911823647299</c:v>
              </c:pt>
              <c:pt idx="407">
                <c:v>0.81563310621242491</c:v>
              </c:pt>
              <c:pt idx="408">
                <c:v>0.81763709418837682</c:v>
              </c:pt>
              <c:pt idx="409">
                <c:v>0.81964108216432874</c:v>
              </c:pt>
              <c:pt idx="410">
                <c:v>0.82164507014028065</c:v>
              </c:pt>
              <c:pt idx="411">
                <c:v>0.82364905811623257</c:v>
              </c:pt>
              <c:pt idx="412">
                <c:v>0.82565304609218448</c:v>
              </c:pt>
              <c:pt idx="413">
                <c:v>0.82765703406813629</c:v>
              </c:pt>
              <c:pt idx="414">
                <c:v>0.8296610220440882</c:v>
              </c:pt>
              <c:pt idx="415">
                <c:v>0.83166501002004012</c:v>
              </c:pt>
              <c:pt idx="416">
                <c:v>0.83366899799599203</c:v>
              </c:pt>
              <c:pt idx="417">
                <c:v>0.83567298597194395</c:v>
              </c:pt>
              <c:pt idx="418">
                <c:v>0.83767697394789586</c:v>
              </c:pt>
              <c:pt idx="419">
                <c:v>0.83968096192384778</c:v>
              </c:pt>
              <c:pt idx="420">
                <c:v>0.84168494989979969</c:v>
              </c:pt>
              <c:pt idx="421">
                <c:v>0.84368893787575161</c:v>
              </c:pt>
              <c:pt idx="422">
                <c:v>0.84569292585170353</c:v>
              </c:pt>
              <c:pt idx="423">
                <c:v>0.84769691382765533</c:v>
              </c:pt>
              <c:pt idx="424">
                <c:v>0.84970090180360724</c:v>
              </c:pt>
              <c:pt idx="425">
                <c:v>0.85170488977955916</c:v>
              </c:pt>
              <c:pt idx="426">
                <c:v>0.85370887775551108</c:v>
              </c:pt>
              <c:pt idx="427">
                <c:v>0.85571286573146299</c:v>
              </c:pt>
              <c:pt idx="428">
                <c:v>0.85771685370741491</c:v>
              </c:pt>
              <c:pt idx="429">
                <c:v>0.85972084168336682</c:v>
              </c:pt>
              <c:pt idx="430">
                <c:v>0.86172482965931874</c:v>
              </c:pt>
              <c:pt idx="431">
                <c:v>0.86372881763527065</c:v>
              </c:pt>
              <c:pt idx="432">
                <c:v>0.86573280561122257</c:v>
              </c:pt>
              <c:pt idx="433">
                <c:v>0.86773679358717437</c:v>
              </c:pt>
              <c:pt idx="434">
                <c:v>0.86974078156312629</c:v>
              </c:pt>
              <c:pt idx="435">
                <c:v>0.8717447695390782</c:v>
              </c:pt>
              <c:pt idx="436">
                <c:v>0.87374875751503012</c:v>
              </c:pt>
              <c:pt idx="437">
                <c:v>0.87575274549098203</c:v>
              </c:pt>
              <c:pt idx="438">
                <c:v>0.87775673346693395</c:v>
              </c:pt>
              <c:pt idx="439">
                <c:v>0.87976072144288586</c:v>
              </c:pt>
              <c:pt idx="440">
                <c:v>0.88176470941883778</c:v>
              </c:pt>
              <c:pt idx="441">
                <c:v>0.88376869739478969</c:v>
              </c:pt>
              <c:pt idx="442">
                <c:v>0.88577268537074161</c:v>
              </c:pt>
              <c:pt idx="443">
                <c:v>0.88777667334669341</c:v>
              </c:pt>
              <c:pt idx="444">
                <c:v>0.88978066132264533</c:v>
              </c:pt>
              <c:pt idx="445">
                <c:v>0.89178464929859724</c:v>
              </c:pt>
              <c:pt idx="446">
                <c:v>0.89378863727454916</c:v>
              </c:pt>
              <c:pt idx="447">
                <c:v>0.89579262525050107</c:v>
              </c:pt>
              <c:pt idx="448">
                <c:v>0.89779661322645299</c:v>
              </c:pt>
              <c:pt idx="449">
                <c:v>0.8998006012024049</c:v>
              </c:pt>
              <c:pt idx="450">
                <c:v>0.90180458917835682</c:v>
              </c:pt>
              <c:pt idx="451">
                <c:v>0.90380857715430873</c:v>
              </c:pt>
              <c:pt idx="452">
                <c:v>0.90581256513026065</c:v>
              </c:pt>
              <c:pt idx="453">
                <c:v>0.90781655310621245</c:v>
              </c:pt>
              <c:pt idx="454">
                <c:v>0.90982054108216437</c:v>
              </c:pt>
              <c:pt idx="455">
                <c:v>0.91182452905811628</c:v>
              </c:pt>
              <c:pt idx="456">
                <c:v>0.9138285170340682</c:v>
              </c:pt>
              <c:pt idx="457">
                <c:v>0.91583250501002011</c:v>
              </c:pt>
              <c:pt idx="458">
                <c:v>0.91783649298597203</c:v>
              </c:pt>
              <c:pt idx="459">
                <c:v>0.91984048096192395</c:v>
              </c:pt>
              <c:pt idx="460">
                <c:v>0.92184446893787586</c:v>
              </c:pt>
              <c:pt idx="461">
                <c:v>0.92384845691382778</c:v>
              </c:pt>
              <c:pt idx="462">
                <c:v>0.92585244488977958</c:v>
              </c:pt>
              <c:pt idx="463">
                <c:v>0.9278564328657315</c:v>
              </c:pt>
              <c:pt idx="464">
                <c:v>0.92986042084168341</c:v>
              </c:pt>
              <c:pt idx="465">
                <c:v>0.93186440881763533</c:v>
              </c:pt>
              <c:pt idx="466">
                <c:v>0.93386839679358724</c:v>
              </c:pt>
              <c:pt idx="467">
                <c:v>0.93587238476953916</c:v>
              </c:pt>
              <c:pt idx="468">
                <c:v>0.93787637274549107</c:v>
              </c:pt>
              <c:pt idx="469">
                <c:v>0.93988036072144299</c:v>
              </c:pt>
              <c:pt idx="470">
                <c:v>0.9418843486973949</c:v>
              </c:pt>
              <c:pt idx="471">
                <c:v>0.94388833667334682</c:v>
              </c:pt>
              <c:pt idx="472">
                <c:v>0.94589232464929862</c:v>
              </c:pt>
              <c:pt idx="473">
                <c:v>0.94789631262525054</c:v>
              </c:pt>
              <c:pt idx="474">
                <c:v>0.94990030060120245</c:v>
              </c:pt>
              <c:pt idx="475">
                <c:v>0.95190428857715437</c:v>
              </c:pt>
              <c:pt idx="476">
                <c:v>0.95390827655310628</c:v>
              </c:pt>
              <c:pt idx="477">
                <c:v>0.9559122645290582</c:v>
              </c:pt>
              <c:pt idx="478">
                <c:v>0.95791625250501011</c:v>
              </c:pt>
              <c:pt idx="479">
                <c:v>0.95992024048096203</c:v>
              </c:pt>
              <c:pt idx="480">
                <c:v>0.96192422845691394</c:v>
              </c:pt>
              <c:pt idx="481">
                <c:v>0.96392821643286586</c:v>
              </c:pt>
              <c:pt idx="482">
                <c:v>0.96593220440881766</c:v>
              </c:pt>
              <c:pt idx="483">
                <c:v>0.96793619238476958</c:v>
              </c:pt>
              <c:pt idx="484">
                <c:v>0.96994018036072149</c:v>
              </c:pt>
              <c:pt idx="485">
                <c:v>0.97194416833667341</c:v>
              </c:pt>
              <c:pt idx="486">
                <c:v>0.97394815631262532</c:v>
              </c:pt>
              <c:pt idx="487">
                <c:v>0.97595214428857724</c:v>
              </c:pt>
              <c:pt idx="488">
                <c:v>0.97795613226452915</c:v>
              </c:pt>
              <c:pt idx="489">
                <c:v>0.97996012024048107</c:v>
              </c:pt>
              <c:pt idx="490">
                <c:v>0.98196410821643298</c:v>
              </c:pt>
              <c:pt idx="491">
                <c:v>0.9839680961923849</c:v>
              </c:pt>
              <c:pt idx="492">
                <c:v>0.9859720841683367</c:v>
              </c:pt>
              <c:pt idx="493">
                <c:v>0.98797607214428862</c:v>
              </c:pt>
              <c:pt idx="494">
                <c:v>0.98998006012024053</c:v>
              </c:pt>
              <c:pt idx="495">
                <c:v>0.99198404809619245</c:v>
              </c:pt>
              <c:pt idx="496">
                <c:v>0.99398803607214437</c:v>
              </c:pt>
              <c:pt idx="497">
                <c:v>0.99599202404809628</c:v>
              </c:pt>
              <c:pt idx="498">
                <c:v>0.9979960120240482</c:v>
              </c:pt>
              <c:pt idx="499">
                <c:v>1</c:v>
              </c:pt>
            </c:numLit>
          </c:xVal>
          <c:yVal>
            <c:numLit>
              <c:formatCode>General</c:formatCode>
              <c:ptCount val="500"/>
              <c:pt idx="0">
                <c:v>1.2011166937303604E-3</c:v>
              </c:pt>
              <c:pt idx="1">
                <c:v>0.2419034578888051</c:v>
              </c:pt>
              <c:pt idx="2">
                <c:v>0.48260579908387974</c:v>
              </c:pt>
              <c:pt idx="3">
                <c:v>0.7233081402789544</c:v>
              </c:pt>
              <c:pt idx="4">
                <c:v>0.96401048147402923</c:v>
              </c:pt>
              <c:pt idx="5">
                <c:v>1.2047128226691042</c:v>
              </c:pt>
              <c:pt idx="6">
                <c:v>1.4454151638641786</c:v>
              </c:pt>
              <c:pt idx="7">
                <c:v>1.6861175050592534</c:v>
              </c:pt>
              <c:pt idx="8">
                <c:v>1.9268198462543282</c:v>
              </c:pt>
              <c:pt idx="9">
                <c:v>2.1675221874494031</c:v>
              </c:pt>
              <c:pt idx="10">
                <c:v>2.4082245286444781</c:v>
              </c:pt>
              <c:pt idx="11">
                <c:v>2.6489268698395523</c:v>
              </c:pt>
              <c:pt idx="12">
                <c:v>2.8896292110346273</c:v>
              </c:pt>
              <c:pt idx="13">
                <c:v>3.1303315522297019</c:v>
              </c:pt>
              <c:pt idx="14">
                <c:v>3.371033893424777</c:v>
              </c:pt>
              <c:pt idx="15">
                <c:v>3.6117362346198512</c:v>
              </c:pt>
              <c:pt idx="16">
                <c:v>3.8524385758149267</c:v>
              </c:pt>
              <c:pt idx="17">
                <c:v>4.0931409170100013</c:v>
              </c:pt>
              <c:pt idx="18">
                <c:v>4.333843258205075</c:v>
              </c:pt>
              <c:pt idx="19">
                <c:v>4.5745455994001505</c:v>
              </c:pt>
              <c:pt idx="20">
                <c:v>4.8152479405952251</c:v>
              </c:pt>
              <c:pt idx="21">
                <c:v>5.0559502817902997</c:v>
              </c:pt>
              <c:pt idx="22">
                <c:v>5.2966526229853743</c:v>
              </c:pt>
              <c:pt idx="23">
                <c:v>5.5373549641804489</c:v>
              </c:pt>
              <c:pt idx="24">
                <c:v>5.7780573053755244</c:v>
              </c:pt>
              <c:pt idx="25">
                <c:v>6.018759646570599</c:v>
              </c:pt>
              <c:pt idx="26">
                <c:v>6.2594619877656728</c:v>
              </c:pt>
              <c:pt idx="27">
                <c:v>6.5001643289607483</c:v>
              </c:pt>
              <c:pt idx="28">
                <c:v>6.7408666701558237</c:v>
              </c:pt>
              <c:pt idx="29">
                <c:v>6.9815690113508975</c:v>
              </c:pt>
              <c:pt idx="30">
                <c:v>7.222271352545973</c:v>
              </c:pt>
              <c:pt idx="31">
                <c:v>7.4629736937410467</c:v>
              </c:pt>
              <c:pt idx="32">
                <c:v>7.7036760349361213</c:v>
              </c:pt>
              <c:pt idx="33">
                <c:v>7.944378376131195</c:v>
              </c:pt>
              <c:pt idx="34">
                <c:v>8.1850807173262723</c:v>
              </c:pt>
              <c:pt idx="35">
                <c:v>8.4257830585213469</c:v>
              </c:pt>
              <c:pt idx="36">
                <c:v>8.6664853997164215</c:v>
              </c:pt>
              <c:pt idx="37">
                <c:v>8.9071877409114943</c:v>
              </c:pt>
              <c:pt idx="38">
                <c:v>9.147890082106569</c:v>
              </c:pt>
              <c:pt idx="39">
                <c:v>9.3885924233016453</c:v>
              </c:pt>
              <c:pt idx="40">
                <c:v>9.6292947644967199</c:v>
              </c:pt>
              <c:pt idx="41">
                <c:v>9.8699971056917946</c:v>
              </c:pt>
              <c:pt idx="42">
                <c:v>10.110699446886869</c:v>
              </c:pt>
              <c:pt idx="43">
                <c:v>10.351401788081944</c:v>
              </c:pt>
              <c:pt idx="44">
                <c:v>10.592104129277018</c:v>
              </c:pt>
              <c:pt idx="45">
                <c:v>10.832806470472093</c:v>
              </c:pt>
              <c:pt idx="46">
                <c:v>11.073508811667168</c:v>
              </c:pt>
              <c:pt idx="47">
                <c:v>11.314211152862242</c:v>
              </c:pt>
              <c:pt idx="48">
                <c:v>11.554913494057317</c:v>
              </c:pt>
              <c:pt idx="49">
                <c:v>11.795615835252393</c:v>
              </c:pt>
              <c:pt idx="50">
                <c:v>12.036318176447468</c:v>
              </c:pt>
              <c:pt idx="51">
                <c:v>12.277020517642542</c:v>
              </c:pt>
              <c:pt idx="52">
                <c:v>12.517722858837617</c:v>
              </c:pt>
              <c:pt idx="53">
                <c:v>12.758425200032692</c:v>
              </c:pt>
              <c:pt idx="54">
                <c:v>12.999127541227764</c:v>
              </c:pt>
              <c:pt idx="55">
                <c:v>13.239829882422841</c:v>
              </c:pt>
              <c:pt idx="56">
                <c:v>13.480532223617915</c:v>
              </c:pt>
              <c:pt idx="57">
                <c:v>13.721234564812992</c:v>
              </c:pt>
              <c:pt idx="58">
                <c:v>13.961936906008063</c:v>
              </c:pt>
              <c:pt idx="59">
                <c:v>14.202639247203139</c:v>
              </c:pt>
              <c:pt idx="60">
                <c:v>14.443341588398216</c:v>
              </c:pt>
              <c:pt idx="61">
                <c:v>14.68404392959329</c:v>
              </c:pt>
              <c:pt idx="62">
                <c:v>14.924746270788363</c:v>
              </c:pt>
              <c:pt idx="63">
                <c:v>15.165448611983438</c:v>
              </c:pt>
              <c:pt idx="64">
                <c:v>15.406150953178514</c:v>
              </c:pt>
              <c:pt idx="65">
                <c:v>15.646853294373587</c:v>
              </c:pt>
              <c:pt idx="66">
                <c:v>15.887555635568662</c:v>
              </c:pt>
              <c:pt idx="67">
                <c:v>16.128257976763738</c:v>
              </c:pt>
              <c:pt idx="68">
                <c:v>16.368960317958813</c:v>
              </c:pt>
              <c:pt idx="69">
                <c:v>16.609662659153891</c:v>
              </c:pt>
              <c:pt idx="70">
                <c:v>16.850365000348962</c:v>
              </c:pt>
              <c:pt idx="71">
                <c:v>17.091067341544036</c:v>
              </c:pt>
              <c:pt idx="72">
                <c:v>17.331769682739107</c:v>
              </c:pt>
              <c:pt idx="73">
                <c:v>17.572472023934186</c:v>
              </c:pt>
              <c:pt idx="74">
                <c:v>17.813174365129264</c:v>
              </c:pt>
              <c:pt idx="75">
                <c:v>18.053876706324335</c:v>
              </c:pt>
              <c:pt idx="76">
                <c:v>18.294579047519409</c:v>
              </c:pt>
              <c:pt idx="77">
                <c:v>18.535281388714484</c:v>
              </c:pt>
              <c:pt idx="78">
                <c:v>18.775983729909559</c:v>
              </c:pt>
              <c:pt idx="79">
                <c:v>19.016686071104637</c:v>
              </c:pt>
              <c:pt idx="80">
                <c:v>19.257388412299708</c:v>
              </c:pt>
              <c:pt idx="81">
                <c:v>19.498090753494786</c:v>
              </c:pt>
              <c:pt idx="82">
                <c:v>19.738793094689861</c:v>
              </c:pt>
              <c:pt idx="83">
                <c:v>19.979495435884935</c:v>
              </c:pt>
              <c:pt idx="84">
                <c:v>20.22019777708001</c:v>
              </c:pt>
              <c:pt idx="85">
                <c:v>20.460900118275084</c:v>
              </c:pt>
              <c:pt idx="86">
                <c:v>20.701602459470159</c:v>
              </c:pt>
              <c:pt idx="87">
                <c:v>20.94230480066523</c:v>
              </c:pt>
              <c:pt idx="88">
                <c:v>21.183007141860308</c:v>
              </c:pt>
              <c:pt idx="89">
                <c:v>21.423709483055379</c:v>
              </c:pt>
              <c:pt idx="90">
                <c:v>21.664411824250458</c:v>
              </c:pt>
              <c:pt idx="91">
                <c:v>21.905114165445532</c:v>
              </c:pt>
              <c:pt idx="92">
                <c:v>22.145816506640603</c:v>
              </c:pt>
              <c:pt idx="93">
                <c:v>22.386518847835681</c:v>
              </c:pt>
              <c:pt idx="94">
                <c:v>22.627221189030752</c:v>
              </c:pt>
              <c:pt idx="95">
                <c:v>22.867923530225827</c:v>
              </c:pt>
              <c:pt idx="96">
                <c:v>23.108625871420909</c:v>
              </c:pt>
              <c:pt idx="97">
                <c:v>23.349328212615976</c:v>
              </c:pt>
              <c:pt idx="98">
                <c:v>23.590030553811058</c:v>
              </c:pt>
              <c:pt idx="99">
                <c:v>23.830732895006125</c:v>
              </c:pt>
              <c:pt idx="100">
                <c:v>24.071435236201204</c:v>
              </c:pt>
              <c:pt idx="101">
                <c:v>24.312137577396282</c:v>
              </c:pt>
              <c:pt idx="102">
                <c:v>24.552839918591353</c:v>
              </c:pt>
              <c:pt idx="103">
                <c:v>24.793542259786431</c:v>
              </c:pt>
              <c:pt idx="104">
                <c:v>25.034244600981502</c:v>
              </c:pt>
              <c:pt idx="105">
                <c:v>25.274946942176577</c:v>
              </c:pt>
              <c:pt idx="106">
                <c:v>25.515649283371655</c:v>
              </c:pt>
              <c:pt idx="107">
                <c:v>25.756351624566726</c:v>
              </c:pt>
              <c:pt idx="108">
                <c:v>25.9970539657618</c:v>
              </c:pt>
              <c:pt idx="109">
                <c:v>26.237756306956875</c:v>
              </c:pt>
              <c:pt idx="110">
                <c:v>26.47845864815195</c:v>
              </c:pt>
              <c:pt idx="111">
                <c:v>26.719160989347028</c:v>
              </c:pt>
              <c:pt idx="112">
                <c:v>26.959863330542099</c:v>
              </c:pt>
              <c:pt idx="113">
                <c:v>27.200565671737174</c:v>
              </c:pt>
              <c:pt idx="114">
                <c:v>27.441268012932248</c:v>
              </c:pt>
              <c:pt idx="115">
                <c:v>27.681970354127323</c:v>
              </c:pt>
              <c:pt idx="116">
                <c:v>27.922672695322401</c:v>
              </c:pt>
              <c:pt idx="117">
                <c:v>28.163375036517476</c:v>
              </c:pt>
              <c:pt idx="118">
                <c:v>28.40407737771255</c:v>
              </c:pt>
              <c:pt idx="119">
                <c:v>28.644779718907625</c:v>
              </c:pt>
              <c:pt idx="120">
                <c:v>28.885482060102699</c:v>
              </c:pt>
              <c:pt idx="121">
                <c:v>29.126184401297774</c:v>
              </c:pt>
              <c:pt idx="122">
                <c:v>29.366886742492849</c:v>
              </c:pt>
              <c:pt idx="123">
                <c:v>29.607589083687923</c:v>
              </c:pt>
              <c:pt idx="124">
                <c:v>29.848291424882998</c:v>
              </c:pt>
              <c:pt idx="125">
                <c:v>30.088993766078069</c:v>
              </c:pt>
              <c:pt idx="126">
                <c:v>30.329696107273147</c:v>
              </c:pt>
              <c:pt idx="127">
                <c:v>30.570398448468222</c:v>
              </c:pt>
              <c:pt idx="128">
                <c:v>30.811100789663296</c:v>
              </c:pt>
              <c:pt idx="129">
                <c:v>31.051803130858371</c:v>
              </c:pt>
              <c:pt idx="130">
                <c:v>31.292505472053442</c:v>
              </c:pt>
              <c:pt idx="131">
                <c:v>31.533207813248517</c:v>
              </c:pt>
              <c:pt idx="132">
                <c:v>31.773910154443595</c:v>
              </c:pt>
              <c:pt idx="133">
                <c:v>32.014612495638673</c:v>
              </c:pt>
              <c:pt idx="134">
                <c:v>32.255314836833747</c:v>
              </c:pt>
              <c:pt idx="135">
                <c:v>32.496017178028815</c:v>
              </c:pt>
              <c:pt idx="136">
                <c:v>32.73671951922389</c:v>
              </c:pt>
              <c:pt idx="137">
                <c:v>32.977421860418971</c:v>
              </c:pt>
              <c:pt idx="138">
                <c:v>33.218124201614046</c:v>
              </c:pt>
              <c:pt idx="139">
                <c:v>33.45882654280912</c:v>
              </c:pt>
              <c:pt idx="140">
                <c:v>33.699528884004188</c:v>
              </c:pt>
              <c:pt idx="141">
                <c:v>33.940231225199263</c:v>
              </c:pt>
              <c:pt idx="142">
                <c:v>34.180933566394344</c:v>
              </c:pt>
              <c:pt idx="143">
                <c:v>34.421635907589419</c:v>
              </c:pt>
              <c:pt idx="144">
                <c:v>34.662338248784494</c:v>
              </c:pt>
              <c:pt idx="145">
                <c:v>34.903040589979568</c:v>
              </c:pt>
              <c:pt idx="146">
                <c:v>35.143742931174643</c:v>
              </c:pt>
              <c:pt idx="147">
                <c:v>35.384445272369717</c:v>
              </c:pt>
              <c:pt idx="148">
                <c:v>35.625147613564792</c:v>
              </c:pt>
              <c:pt idx="149">
                <c:v>35.865849954759867</c:v>
              </c:pt>
              <c:pt idx="150">
                <c:v>36.106552295954941</c:v>
              </c:pt>
              <c:pt idx="151">
                <c:v>36.347254637150016</c:v>
              </c:pt>
              <c:pt idx="152">
                <c:v>36.58795697834509</c:v>
              </c:pt>
              <c:pt idx="153">
                <c:v>36.828659319540165</c:v>
              </c:pt>
              <c:pt idx="154">
                <c:v>37.06936166073524</c:v>
              </c:pt>
              <c:pt idx="155">
                <c:v>37.310064001930314</c:v>
              </c:pt>
              <c:pt idx="156">
                <c:v>37.550766343125389</c:v>
              </c:pt>
              <c:pt idx="157">
                <c:v>37.791468684320463</c:v>
              </c:pt>
              <c:pt idx="158">
                <c:v>38.032171025515545</c:v>
              </c:pt>
              <c:pt idx="159">
                <c:v>38.27287336671062</c:v>
              </c:pt>
              <c:pt idx="160">
                <c:v>38.513575707905687</c:v>
              </c:pt>
              <c:pt idx="161">
                <c:v>38.754278049100762</c:v>
              </c:pt>
              <c:pt idx="162">
                <c:v>38.994980390295837</c:v>
              </c:pt>
              <c:pt idx="163">
                <c:v>39.235682731490918</c:v>
              </c:pt>
              <c:pt idx="164">
                <c:v>39.476385072685986</c:v>
              </c:pt>
              <c:pt idx="165">
                <c:v>39.71708741388106</c:v>
              </c:pt>
              <c:pt idx="166">
                <c:v>39.957789755076135</c:v>
              </c:pt>
              <c:pt idx="167">
                <c:v>40.198492096271217</c:v>
              </c:pt>
              <c:pt idx="168">
                <c:v>40.439194437466284</c:v>
              </c:pt>
              <c:pt idx="169">
                <c:v>40.679896778661359</c:v>
              </c:pt>
              <c:pt idx="170">
                <c:v>40.920599119856433</c:v>
              </c:pt>
              <c:pt idx="171">
                <c:v>41.161301461051508</c:v>
              </c:pt>
              <c:pt idx="172">
                <c:v>41.402003802246583</c:v>
              </c:pt>
              <c:pt idx="173">
                <c:v>41.642706143441664</c:v>
              </c:pt>
              <c:pt idx="174">
                <c:v>41.883408484636732</c:v>
              </c:pt>
              <c:pt idx="175">
                <c:v>42.124110825831806</c:v>
              </c:pt>
              <c:pt idx="176">
                <c:v>42.364813167026881</c:v>
              </c:pt>
              <c:pt idx="177">
                <c:v>42.605515508221963</c:v>
              </c:pt>
              <c:pt idx="178">
                <c:v>42.846217849417037</c:v>
              </c:pt>
              <c:pt idx="179">
                <c:v>43.086920190612105</c:v>
              </c:pt>
              <c:pt idx="180">
                <c:v>43.327622531807187</c:v>
              </c:pt>
              <c:pt idx="181">
                <c:v>43.568324873002254</c:v>
              </c:pt>
              <c:pt idx="182">
                <c:v>43.809027214197336</c:v>
              </c:pt>
              <c:pt idx="183">
                <c:v>44.04972955539241</c:v>
              </c:pt>
              <c:pt idx="184">
                <c:v>44.290431896587485</c:v>
              </c:pt>
              <c:pt idx="185">
                <c:v>44.531134237782553</c:v>
              </c:pt>
              <c:pt idx="186">
                <c:v>44.771836578977634</c:v>
              </c:pt>
              <c:pt idx="187">
                <c:v>45.012538920172702</c:v>
              </c:pt>
              <c:pt idx="188">
                <c:v>45.253241261367783</c:v>
              </c:pt>
              <c:pt idx="189">
                <c:v>45.493943602562851</c:v>
              </c:pt>
              <c:pt idx="190">
                <c:v>45.734645943757933</c:v>
              </c:pt>
              <c:pt idx="191">
                <c:v>45.975348284953</c:v>
              </c:pt>
              <c:pt idx="192">
                <c:v>46.216050626148082</c:v>
              </c:pt>
              <c:pt idx="193">
                <c:v>46.456752967343164</c:v>
              </c:pt>
              <c:pt idx="194">
                <c:v>46.697455308538224</c:v>
              </c:pt>
              <c:pt idx="195">
                <c:v>46.938157649733299</c:v>
              </c:pt>
              <c:pt idx="196">
                <c:v>47.17885999092838</c:v>
              </c:pt>
              <c:pt idx="197">
                <c:v>47.419562332123448</c:v>
              </c:pt>
              <c:pt idx="198">
                <c:v>47.66026467331853</c:v>
              </c:pt>
              <c:pt idx="199">
                <c:v>47.900967014513604</c:v>
              </c:pt>
              <c:pt idx="200">
                <c:v>48.141669355708679</c:v>
              </c:pt>
              <c:pt idx="201">
                <c:v>48.382371696903753</c:v>
              </c:pt>
              <c:pt idx="202">
                <c:v>48.623074038098828</c:v>
              </c:pt>
              <c:pt idx="203">
                <c:v>48.863776379293903</c:v>
              </c:pt>
              <c:pt idx="204">
                <c:v>49.10447872048897</c:v>
              </c:pt>
              <c:pt idx="205">
                <c:v>49.345181061684052</c:v>
              </c:pt>
              <c:pt idx="206">
                <c:v>49.585883402879126</c:v>
              </c:pt>
              <c:pt idx="207">
                <c:v>49.826585744074201</c:v>
              </c:pt>
              <c:pt idx="208">
                <c:v>50.067288085269276</c:v>
              </c:pt>
              <c:pt idx="209">
                <c:v>50.30799042646435</c:v>
              </c:pt>
              <c:pt idx="210">
                <c:v>50.548692767659418</c:v>
              </c:pt>
              <c:pt idx="211">
                <c:v>50.789395108854499</c:v>
              </c:pt>
              <c:pt idx="212">
                <c:v>51.030097450049581</c:v>
              </c:pt>
              <c:pt idx="213">
                <c:v>51.270799791244649</c:v>
              </c:pt>
              <c:pt idx="214">
                <c:v>51.511502132439716</c:v>
              </c:pt>
              <c:pt idx="215">
                <c:v>51.752204473634798</c:v>
              </c:pt>
              <c:pt idx="216">
                <c:v>51.99290681482988</c:v>
              </c:pt>
              <c:pt idx="217">
                <c:v>52.233609156024947</c:v>
              </c:pt>
              <c:pt idx="218">
                <c:v>52.474311497220029</c:v>
              </c:pt>
              <c:pt idx="219">
                <c:v>52.715013838415096</c:v>
              </c:pt>
              <c:pt idx="220">
                <c:v>52.955716179610171</c:v>
              </c:pt>
              <c:pt idx="221">
                <c:v>53.196418520805246</c:v>
              </c:pt>
              <c:pt idx="222">
                <c:v>53.437120862000327</c:v>
              </c:pt>
              <c:pt idx="223">
                <c:v>53.677823203195395</c:v>
              </c:pt>
              <c:pt idx="224">
                <c:v>53.918525544390469</c:v>
              </c:pt>
              <c:pt idx="225">
                <c:v>54.159227885585544</c:v>
              </c:pt>
              <c:pt idx="226">
                <c:v>54.399930226780619</c:v>
              </c:pt>
              <c:pt idx="227">
                <c:v>54.640632567975693</c:v>
              </c:pt>
              <c:pt idx="228">
                <c:v>54.881334909170775</c:v>
              </c:pt>
              <c:pt idx="229">
                <c:v>55.122037250365842</c:v>
              </c:pt>
              <c:pt idx="230">
                <c:v>55.362739591560917</c:v>
              </c:pt>
              <c:pt idx="231">
                <c:v>55.603441932755992</c:v>
              </c:pt>
              <c:pt idx="232">
                <c:v>55.844144273951073</c:v>
              </c:pt>
              <c:pt idx="233">
                <c:v>56.084846615146134</c:v>
              </c:pt>
              <c:pt idx="234">
                <c:v>56.325548956341216</c:v>
              </c:pt>
              <c:pt idx="235">
                <c:v>56.566251297536297</c:v>
              </c:pt>
              <c:pt idx="236">
                <c:v>56.806953638731365</c:v>
              </c:pt>
              <c:pt idx="237">
                <c:v>57.047655979926446</c:v>
              </c:pt>
              <c:pt idx="238">
                <c:v>57.288358321121514</c:v>
              </c:pt>
              <c:pt idx="239">
                <c:v>57.529060662316596</c:v>
              </c:pt>
              <c:pt idx="240">
                <c:v>57.769763003511663</c:v>
              </c:pt>
              <c:pt idx="241">
                <c:v>58.010465344706745</c:v>
              </c:pt>
              <c:pt idx="242">
                <c:v>58.251167685901819</c:v>
              </c:pt>
              <c:pt idx="243">
                <c:v>58.491870027096887</c:v>
              </c:pt>
              <c:pt idx="244">
                <c:v>58.732572368291962</c:v>
              </c:pt>
              <c:pt idx="245">
                <c:v>58.973274709487043</c:v>
              </c:pt>
              <c:pt idx="246">
                <c:v>59.213977050682111</c:v>
              </c:pt>
              <c:pt idx="247">
                <c:v>59.454679391877193</c:v>
              </c:pt>
              <c:pt idx="248">
                <c:v>59.69538173307226</c:v>
              </c:pt>
              <c:pt idx="249">
                <c:v>59.936084074267335</c:v>
              </c:pt>
              <c:pt idx="250">
                <c:v>60.176786415462409</c:v>
              </c:pt>
              <c:pt idx="251">
                <c:v>60.417488756657491</c:v>
              </c:pt>
              <c:pt idx="252">
                <c:v>60.658191097852566</c:v>
              </c:pt>
              <c:pt idx="253">
                <c:v>60.89889343904764</c:v>
              </c:pt>
              <c:pt idx="254">
                <c:v>61.139595780242722</c:v>
              </c:pt>
              <c:pt idx="255">
                <c:v>61.380298121437789</c:v>
              </c:pt>
              <c:pt idx="256">
                <c:v>61.62100046263285</c:v>
              </c:pt>
              <c:pt idx="257">
                <c:v>61.861702803827932</c:v>
              </c:pt>
              <c:pt idx="258">
                <c:v>62.102405145023013</c:v>
              </c:pt>
              <c:pt idx="259">
                <c:v>62.343107486218081</c:v>
              </c:pt>
              <c:pt idx="260">
                <c:v>62.583809827413162</c:v>
              </c:pt>
              <c:pt idx="261">
                <c:v>62.824512168608237</c:v>
              </c:pt>
              <c:pt idx="262">
                <c:v>63.065214509803312</c:v>
              </c:pt>
              <c:pt idx="263">
                <c:v>63.305916850998386</c:v>
              </c:pt>
              <c:pt idx="264">
                <c:v>63.546619192193468</c:v>
              </c:pt>
              <c:pt idx="265">
                <c:v>63.787321533388528</c:v>
              </c:pt>
              <c:pt idx="266">
                <c:v>64.028023874583596</c:v>
              </c:pt>
              <c:pt idx="267">
                <c:v>64.268726215778685</c:v>
              </c:pt>
              <c:pt idx="268">
                <c:v>64.509428556973759</c:v>
              </c:pt>
              <c:pt idx="269">
                <c:v>64.750130898168834</c:v>
              </c:pt>
              <c:pt idx="270">
                <c:v>64.990833239363909</c:v>
              </c:pt>
              <c:pt idx="271">
                <c:v>65.231535580558983</c:v>
              </c:pt>
              <c:pt idx="272">
                <c:v>65.472237921754058</c:v>
              </c:pt>
              <c:pt idx="273">
                <c:v>65.712940262949132</c:v>
              </c:pt>
              <c:pt idx="274">
                <c:v>65.953642604144221</c:v>
              </c:pt>
              <c:pt idx="275">
                <c:v>66.194344945339282</c:v>
              </c:pt>
              <c:pt idx="276">
                <c:v>66.435047286534356</c:v>
              </c:pt>
              <c:pt idx="277">
                <c:v>66.675749627729431</c:v>
              </c:pt>
              <c:pt idx="278">
                <c:v>66.916451968924505</c:v>
              </c:pt>
              <c:pt idx="279">
                <c:v>67.15715431011958</c:v>
              </c:pt>
              <c:pt idx="280">
                <c:v>67.397856651314655</c:v>
              </c:pt>
              <c:pt idx="281">
                <c:v>67.638558992509729</c:v>
              </c:pt>
              <c:pt idx="282">
                <c:v>67.879261333704804</c:v>
              </c:pt>
              <c:pt idx="283">
                <c:v>68.119963674899893</c:v>
              </c:pt>
              <c:pt idx="284">
                <c:v>68.360666016094953</c:v>
              </c:pt>
              <c:pt idx="285">
                <c:v>68.601368357290028</c:v>
              </c:pt>
              <c:pt idx="286">
                <c:v>68.842070698485102</c:v>
              </c:pt>
              <c:pt idx="287">
                <c:v>69.082773039680177</c:v>
              </c:pt>
              <c:pt idx="288">
                <c:v>69.323475380875252</c:v>
              </c:pt>
              <c:pt idx="289">
                <c:v>69.564177722070326</c:v>
              </c:pt>
              <c:pt idx="290">
                <c:v>69.804880063265401</c:v>
              </c:pt>
              <c:pt idx="291">
                <c:v>70.045582404460475</c:v>
              </c:pt>
              <c:pt idx="292">
                <c:v>70.28628474565555</c:v>
              </c:pt>
              <c:pt idx="293">
                <c:v>70.526987086850639</c:v>
              </c:pt>
              <c:pt idx="294">
                <c:v>70.767689428045699</c:v>
              </c:pt>
              <c:pt idx="295">
                <c:v>71.008391769240774</c:v>
              </c:pt>
              <c:pt idx="296">
                <c:v>71.249094110435848</c:v>
              </c:pt>
              <c:pt idx="297">
                <c:v>71.489796451630923</c:v>
              </c:pt>
              <c:pt idx="298">
                <c:v>71.730498792825998</c:v>
              </c:pt>
              <c:pt idx="299">
                <c:v>71.971201134021072</c:v>
              </c:pt>
              <c:pt idx="300">
                <c:v>72.211903475216147</c:v>
              </c:pt>
              <c:pt idx="301">
                <c:v>72.452605816411221</c:v>
              </c:pt>
              <c:pt idx="302">
                <c:v>72.69330815760631</c:v>
              </c:pt>
              <c:pt idx="303">
                <c:v>72.934010498801385</c:v>
              </c:pt>
              <c:pt idx="304">
                <c:v>73.174712839996459</c:v>
              </c:pt>
              <c:pt idx="305">
                <c:v>73.41541518119152</c:v>
              </c:pt>
              <c:pt idx="306">
                <c:v>73.656117522386594</c:v>
              </c:pt>
              <c:pt idx="307">
                <c:v>73.896819863581669</c:v>
              </c:pt>
              <c:pt idx="308">
                <c:v>74.137522204776744</c:v>
              </c:pt>
              <c:pt idx="309">
                <c:v>74.378224545971818</c:v>
              </c:pt>
              <c:pt idx="310">
                <c:v>74.618926887166907</c:v>
              </c:pt>
              <c:pt idx="311">
                <c:v>74.859629228361968</c:v>
              </c:pt>
              <c:pt idx="312">
                <c:v>75.100331569557056</c:v>
              </c:pt>
              <c:pt idx="313">
                <c:v>75.341033910752131</c:v>
              </c:pt>
              <c:pt idx="314">
                <c:v>75.581736251947206</c:v>
              </c:pt>
              <c:pt idx="315">
                <c:v>75.822438593142266</c:v>
              </c:pt>
              <c:pt idx="316">
                <c:v>76.063140934337341</c:v>
              </c:pt>
              <c:pt idx="317">
                <c:v>76.303843275532415</c:v>
              </c:pt>
              <c:pt idx="318">
                <c:v>76.54454561672749</c:v>
              </c:pt>
              <c:pt idx="319">
                <c:v>76.785247957922564</c:v>
              </c:pt>
              <c:pt idx="320">
                <c:v>77.025950299117653</c:v>
              </c:pt>
              <c:pt idx="321">
                <c:v>77.266652640312714</c:v>
              </c:pt>
              <c:pt idx="322">
                <c:v>77.507354981507802</c:v>
              </c:pt>
              <c:pt idx="323">
                <c:v>77.748057322702877</c:v>
              </c:pt>
              <c:pt idx="324">
                <c:v>77.988759663897952</c:v>
              </c:pt>
              <c:pt idx="325">
                <c:v>78.229462005093012</c:v>
              </c:pt>
              <c:pt idx="326">
                <c:v>78.470164346288087</c:v>
              </c:pt>
              <c:pt idx="327">
                <c:v>78.710866687483161</c:v>
              </c:pt>
              <c:pt idx="328">
                <c:v>78.951569028678236</c:v>
              </c:pt>
              <c:pt idx="329">
                <c:v>79.192271369873325</c:v>
              </c:pt>
              <c:pt idx="330">
                <c:v>79.432973711068399</c:v>
              </c:pt>
              <c:pt idx="331">
                <c:v>79.673676052263474</c:v>
              </c:pt>
              <c:pt idx="332">
                <c:v>79.914378393458534</c:v>
              </c:pt>
              <c:pt idx="333">
                <c:v>80.155080734653623</c:v>
              </c:pt>
              <c:pt idx="334">
                <c:v>80.395783075848684</c:v>
              </c:pt>
              <c:pt idx="335">
                <c:v>80.636485417043758</c:v>
              </c:pt>
              <c:pt idx="336">
                <c:v>80.877187758238833</c:v>
              </c:pt>
              <c:pt idx="337">
                <c:v>81.117890099433922</c:v>
              </c:pt>
              <c:pt idx="338">
                <c:v>81.358592440628996</c:v>
              </c:pt>
              <c:pt idx="339">
                <c:v>81.599294781824057</c:v>
              </c:pt>
              <c:pt idx="340">
                <c:v>81.839997123019131</c:v>
              </c:pt>
              <c:pt idx="341">
                <c:v>82.08069946421422</c:v>
              </c:pt>
              <c:pt idx="342">
                <c:v>82.321401805409295</c:v>
              </c:pt>
              <c:pt idx="343">
                <c:v>82.562104146604369</c:v>
              </c:pt>
              <c:pt idx="344">
                <c:v>82.802806487799444</c:v>
              </c:pt>
              <c:pt idx="345">
                <c:v>83.043508828994518</c:v>
              </c:pt>
              <c:pt idx="346">
                <c:v>83.284211170189579</c:v>
              </c:pt>
              <c:pt idx="347">
                <c:v>83.524913511384653</c:v>
              </c:pt>
              <c:pt idx="348">
                <c:v>83.765615852579742</c:v>
              </c:pt>
              <c:pt idx="349">
                <c:v>84.006318193774817</c:v>
              </c:pt>
              <c:pt idx="350">
                <c:v>84.247020534969892</c:v>
              </c:pt>
              <c:pt idx="351">
                <c:v>84.48772287616498</c:v>
              </c:pt>
              <c:pt idx="352">
                <c:v>84.728425217360041</c:v>
              </c:pt>
              <c:pt idx="353">
                <c:v>84.969127558555115</c:v>
              </c:pt>
              <c:pt idx="354">
                <c:v>85.209829899750176</c:v>
              </c:pt>
              <c:pt idx="355">
                <c:v>85.45053224094525</c:v>
              </c:pt>
              <c:pt idx="356">
                <c:v>85.691234582140339</c:v>
              </c:pt>
              <c:pt idx="357">
                <c:v>85.931936923335414</c:v>
              </c:pt>
              <c:pt idx="358">
                <c:v>86.172639264530474</c:v>
              </c:pt>
              <c:pt idx="359">
                <c:v>86.413341605725549</c:v>
              </c:pt>
              <c:pt idx="360">
                <c:v>86.654043946920638</c:v>
              </c:pt>
              <c:pt idx="361">
                <c:v>86.894746288115712</c:v>
              </c:pt>
              <c:pt idx="362">
                <c:v>87.135448629310787</c:v>
              </c:pt>
              <c:pt idx="363">
                <c:v>87.376150970505876</c:v>
              </c:pt>
              <c:pt idx="364">
                <c:v>87.616853311700936</c:v>
              </c:pt>
              <c:pt idx="365">
                <c:v>87.857555652895996</c:v>
              </c:pt>
              <c:pt idx="366">
                <c:v>88.098257994091071</c:v>
              </c:pt>
              <c:pt idx="367">
                <c:v>88.33896033528616</c:v>
              </c:pt>
              <c:pt idx="368">
                <c:v>88.579662676481234</c:v>
              </c:pt>
              <c:pt idx="369">
                <c:v>88.820365017676309</c:v>
              </c:pt>
              <c:pt idx="370">
                <c:v>89.061067358871398</c:v>
              </c:pt>
              <c:pt idx="371">
                <c:v>89.301769700066458</c:v>
              </c:pt>
              <c:pt idx="372">
                <c:v>89.542472041261533</c:v>
              </c:pt>
              <c:pt idx="373">
                <c:v>89.783174382456608</c:v>
              </c:pt>
              <c:pt idx="374">
                <c:v>90.023876723651668</c:v>
              </c:pt>
              <c:pt idx="375">
                <c:v>90.264579064846757</c:v>
              </c:pt>
              <c:pt idx="376">
                <c:v>90.505281406041831</c:v>
              </c:pt>
              <c:pt idx="377">
                <c:v>90.745983747236906</c:v>
              </c:pt>
              <c:pt idx="378">
                <c:v>90.986686088431966</c:v>
              </c:pt>
              <c:pt idx="379">
                <c:v>91.227388429627055</c:v>
              </c:pt>
              <c:pt idx="380">
                <c:v>91.46809077082213</c:v>
              </c:pt>
              <c:pt idx="381">
                <c:v>91.708793112017204</c:v>
              </c:pt>
              <c:pt idx="382">
                <c:v>91.949495453212293</c:v>
              </c:pt>
              <c:pt idx="383">
                <c:v>92.190197794407368</c:v>
              </c:pt>
              <c:pt idx="384">
                <c:v>92.430900135602428</c:v>
              </c:pt>
              <c:pt idx="385">
                <c:v>92.671602476797489</c:v>
              </c:pt>
              <c:pt idx="386">
                <c:v>92.912304817992577</c:v>
              </c:pt>
              <c:pt idx="387">
                <c:v>93.153007159187652</c:v>
              </c:pt>
              <c:pt idx="388">
                <c:v>93.393709500382727</c:v>
              </c:pt>
              <c:pt idx="389">
                <c:v>93.634411841577815</c:v>
              </c:pt>
              <c:pt idx="390">
                <c:v>93.87511418277289</c:v>
              </c:pt>
              <c:pt idx="391">
                <c:v>94.115816523967951</c:v>
              </c:pt>
              <c:pt idx="392">
                <c:v>94.356518865163025</c:v>
              </c:pt>
              <c:pt idx="393">
                <c:v>94.597221206358086</c:v>
              </c:pt>
              <c:pt idx="394">
                <c:v>94.837923547553174</c:v>
              </c:pt>
              <c:pt idx="395">
                <c:v>95.078625888748249</c:v>
              </c:pt>
              <c:pt idx="396">
                <c:v>95.319328229943324</c:v>
              </c:pt>
              <c:pt idx="397">
                <c:v>95.560030571138412</c:v>
              </c:pt>
              <c:pt idx="398">
                <c:v>95.800732912333473</c:v>
              </c:pt>
              <c:pt idx="399">
                <c:v>96.041435253528547</c:v>
              </c:pt>
              <c:pt idx="400">
                <c:v>96.282137594723622</c:v>
              </c:pt>
              <c:pt idx="401">
                <c:v>96.522839935918711</c:v>
              </c:pt>
              <c:pt idx="402">
                <c:v>96.763542277113785</c:v>
              </c:pt>
              <c:pt idx="403">
                <c:v>97.004244618308846</c:v>
              </c:pt>
              <c:pt idx="404">
                <c:v>97.24494695950392</c:v>
              </c:pt>
              <c:pt idx="405">
                <c:v>97.485649300698995</c:v>
              </c:pt>
              <c:pt idx="406">
                <c:v>97.72635164189407</c:v>
              </c:pt>
              <c:pt idx="407">
                <c:v>97.967053983089144</c:v>
              </c:pt>
              <c:pt idx="408">
                <c:v>98.207756324284219</c:v>
              </c:pt>
              <c:pt idx="409">
                <c:v>98.448458665479308</c:v>
              </c:pt>
              <c:pt idx="410">
                <c:v>98.689161006674368</c:v>
              </c:pt>
              <c:pt idx="411">
                <c:v>98.929863347869443</c:v>
              </c:pt>
              <c:pt idx="412">
                <c:v>99.170565689064532</c:v>
              </c:pt>
              <c:pt idx="413">
                <c:v>99.411268030259592</c:v>
              </c:pt>
              <c:pt idx="414">
                <c:v>99.651970371454667</c:v>
              </c:pt>
              <c:pt idx="415">
                <c:v>99.892672712649741</c:v>
              </c:pt>
              <c:pt idx="416">
                <c:v>100.13337505384483</c:v>
              </c:pt>
              <c:pt idx="417">
                <c:v>100.37407739503989</c:v>
              </c:pt>
              <c:pt idx="418">
                <c:v>100.61477973623496</c:v>
              </c:pt>
              <c:pt idx="419">
                <c:v>100.85548207743004</c:v>
              </c:pt>
              <c:pt idx="420">
                <c:v>101.09618441862513</c:v>
              </c:pt>
              <c:pt idx="421">
                <c:v>101.3368867598202</c:v>
              </c:pt>
              <c:pt idx="422">
                <c:v>101.57758910101528</c:v>
              </c:pt>
              <c:pt idx="423">
                <c:v>101.81829144221034</c:v>
              </c:pt>
              <c:pt idx="424">
                <c:v>102.05899378340541</c:v>
              </c:pt>
              <c:pt idx="425">
                <c:v>102.29969612460049</c:v>
              </c:pt>
              <c:pt idx="426">
                <c:v>102.54039846579556</c:v>
              </c:pt>
              <c:pt idx="427">
                <c:v>102.78110080699064</c:v>
              </c:pt>
              <c:pt idx="428">
                <c:v>103.02180314818573</c:v>
              </c:pt>
              <c:pt idx="429">
                <c:v>103.2625054893808</c:v>
              </c:pt>
              <c:pt idx="430">
                <c:v>103.50320783057586</c:v>
              </c:pt>
              <c:pt idx="431">
                <c:v>103.74391017177095</c:v>
              </c:pt>
              <c:pt idx="432">
                <c:v>103.98461251296602</c:v>
              </c:pt>
              <c:pt idx="433">
                <c:v>104.22531485416108</c:v>
              </c:pt>
              <c:pt idx="434">
                <c:v>104.46601719535616</c:v>
              </c:pt>
              <c:pt idx="435">
                <c:v>104.70671953655125</c:v>
              </c:pt>
              <c:pt idx="436">
                <c:v>104.94742187774632</c:v>
              </c:pt>
              <c:pt idx="437">
                <c:v>105.18812421894138</c:v>
              </c:pt>
              <c:pt idx="438">
                <c:v>105.42882656013646</c:v>
              </c:pt>
              <c:pt idx="439">
                <c:v>105.66952890133155</c:v>
              </c:pt>
              <c:pt idx="440">
                <c:v>105.91023124252662</c:v>
              </c:pt>
              <c:pt idx="441">
                <c:v>106.1509335837217</c:v>
              </c:pt>
              <c:pt idx="442">
                <c:v>106.39163592491676</c:v>
              </c:pt>
              <c:pt idx="443">
                <c:v>106.63233826611184</c:v>
              </c:pt>
              <c:pt idx="444">
                <c:v>106.8730406073069</c:v>
              </c:pt>
              <c:pt idx="445">
                <c:v>107.11374294850198</c:v>
              </c:pt>
              <c:pt idx="446">
                <c:v>107.35444528969705</c:v>
              </c:pt>
              <c:pt idx="447">
                <c:v>107.59514763089214</c:v>
              </c:pt>
              <c:pt idx="448">
                <c:v>107.83584997208722</c:v>
              </c:pt>
              <c:pt idx="449">
                <c:v>108.07655231328228</c:v>
              </c:pt>
              <c:pt idx="450">
                <c:v>108.31725465447737</c:v>
              </c:pt>
              <c:pt idx="451">
                <c:v>108.55795699567244</c:v>
              </c:pt>
              <c:pt idx="452">
                <c:v>108.79865933686752</c:v>
              </c:pt>
              <c:pt idx="453">
                <c:v>109.03936167806258</c:v>
              </c:pt>
              <c:pt idx="454">
                <c:v>109.28006401925767</c:v>
              </c:pt>
              <c:pt idx="455">
                <c:v>109.52076636045274</c:v>
              </c:pt>
              <c:pt idx="456">
                <c:v>109.7614687016478</c:v>
              </c:pt>
              <c:pt idx="457">
                <c:v>110.00217104284287</c:v>
              </c:pt>
              <c:pt idx="458">
                <c:v>110.24287338403796</c:v>
              </c:pt>
              <c:pt idx="459">
                <c:v>110.48357572523304</c:v>
              </c:pt>
              <c:pt idx="460">
                <c:v>110.72427806642811</c:v>
              </c:pt>
              <c:pt idx="461">
                <c:v>110.9649804076232</c:v>
              </c:pt>
              <c:pt idx="462">
                <c:v>111.20568274881826</c:v>
              </c:pt>
              <c:pt idx="463">
                <c:v>111.44638509001332</c:v>
              </c:pt>
              <c:pt idx="464">
                <c:v>111.6870874312084</c:v>
              </c:pt>
              <c:pt idx="465">
                <c:v>111.92778977240347</c:v>
              </c:pt>
              <c:pt idx="466">
                <c:v>112.16849211359856</c:v>
              </c:pt>
              <c:pt idx="467">
                <c:v>112.40919445479364</c:v>
              </c:pt>
              <c:pt idx="468">
                <c:v>112.64989679598871</c:v>
              </c:pt>
              <c:pt idx="469">
                <c:v>112.89059913718377</c:v>
              </c:pt>
              <c:pt idx="470">
                <c:v>113.13130147837886</c:v>
              </c:pt>
              <c:pt idx="471">
                <c:v>113.37200381957393</c:v>
              </c:pt>
              <c:pt idx="472">
                <c:v>113.61270616076899</c:v>
              </c:pt>
              <c:pt idx="473">
                <c:v>113.85340850196408</c:v>
              </c:pt>
              <c:pt idx="474">
                <c:v>114.09411084315916</c:v>
              </c:pt>
              <c:pt idx="475">
                <c:v>114.33481318435423</c:v>
              </c:pt>
              <c:pt idx="476">
                <c:v>114.57551552554929</c:v>
              </c:pt>
              <c:pt idx="477">
                <c:v>114.81621786674438</c:v>
              </c:pt>
              <c:pt idx="478">
                <c:v>115.05692020793946</c:v>
              </c:pt>
              <c:pt idx="479">
                <c:v>115.29762254913453</c:v>
              </c:pt>
              <c:pt idx="480">
                <c:v>115.53832489032962</c:v>
              </c:pt>
              <c:pt idx="481">
                <c:v>115.77902723152468</c:v>
              </c:pt>
              <c:pt idx="482">
                <c:v>116.01972957271975</c:v>
              </c:pt>
              <c:pt idx="483">
                <c:v>116.26043191391481</c:v>
              </c:pt>
              <c:pt idx="484">
                <c:v>116.50113425510989</c:v>
              </c:pt>
              <c:pt idx="485">
                <c:v>116.74183659630498</c:v>
              </c:pt>
              <c:pt idx="486">
                <c:v>116.98253893750005</c:v>
              </c:pt>
              <c:pt idx="487">
                <c:v>117.22324127869513</c:v>
              </c:pt>
              <c:pt idx="488">
                <c:v>117.46394361989019</c:v>
              </c:pt>
              <c:pt idx="489">
                <c:v>117.70464596108528</c:v>
              </c:pt>
              <c:pt idx="490">
                <c:v>117.94534830228035</c:v>
              </c:pt>
              <c:pt idx="491">
                <c:v>118.18605064347543</c:v>
              </c:pt>
              <c:pt idx="492">
                <c:v>118.4267529846705</c:v>
              </c:pt>
              <c:pt idx="493">
                <c:v>118.66745532586557</c:v>
              </c:pt>
              <c:pt idx="494">
                <c:v>118.90815766706065</c:v>
              </c:pt>
              <c:pt idx="495">
                <c:v>119.14886000825571</c:v>
              </c:pt>
              <c:pt idx="496">
                <c:v>119.3895623494508</c:v>
              </c:pt>
              <c:pt idx="497">
                <c:v>119.63026469064587</c:v>
              </c:pt>
              <c:pt idx="498">
                <c:v>119.87096703184095</c:v>
              </c:pt>
              <c:pt idx="499">
                <c:v>120.11166937303601</c:v>
              </c:pt>
            </c:numLit>
          </c:yVal>
          <c:smooth val="0"/>
          <c:extLst>
            <c:ext xmlns:c16="http://schemas.microsoft.com/office/drawing/2014/chart" uri="{C3380CC4-5D6E-409C-BE32-E72D297353CC}">
              <c16:uniqueId val="{00000002-D3AF-4D63-AB00-59371E8B4B08}"/>
            </c:ext>
          </c:extLst>
        </c:ser>
        <c:dLbls>
          <c:showLegendKey val="0"/>
          <c:showVal val="0"/>
          <c:showCatName val="0"/>
          <c:showSerName val="0"/>
          <c:showPercent val="0"/>
          <c:showBubbleSize val="0"/>
        </c:dLbls>
        <c:axId val="619215184"/>
        <c:axId val="619217152"/>
      </c:scatterChart>
      <c:valAx>
        <c:axId val="61921518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tthrust to weight ratio</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17152"/>
        <c:crosses val="autoZero"/>
        <c:crossBetween val="midCat"/>
      </c:valAx>
      <c:valAx>
        <c:axId val="619217152"/>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Level[N]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151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Spacecraft dry mass vs propellant mass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Spacecraft dry mass vs propellant 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1.7229161354587318E-2</c:v>
              </c:pt>
              <c:pt idx="1">
                <c:v>0.10407109585902237</c:v>
              </c:pt>
              <c:pt idx="2">
                <c:v>0.19091303036345741</c:v>
              </c:pt>
              <c:pt idx="3">
                <c:v>0.27775496486789247</c:v>
              </c:pt>
              <c:pt idx="4">
                <c:v>0.36459689937232753</c:v>
              </c:pt>
              <c:pt idx="5">
                <c:v>0.45143883387676265</c:v>
              </c:pt>
              <c:pt idx="6">
                <c:v>0.53828076838119765</c:v>
              </c:pt>
              <c:pt idx="7">
                <c:v>0.62512270288563276</c:v>
              </c:pt>
              <c:pt idx="8">
                <c:v>0.71196463739006777</c:v>
              </c:pt>
              <c:pt idx="9">
                <c:v>0.79880657189450277</c:v>
              </c:pt>
              <c:pt idx="10">
                <c:v>0.885648506398938</c:v>
              </c:pt>
              <c:pt idx="11">
                <c:v>0.972490440903373</c:v>
              </c:pt>
              <c:pt idx="12">
                <c:v>1.0593323754078081</c:v>
              </c:pt>
              <c:pt idx="13">
                <c:v>1.146174309912243</c:v>
              </c:pt>
              <c:pt idx="14">
                <c:v>1.2330162444166781</c:v>
              </c:pt>
              <c:pt idx="15">
                <c:v>1.3198581789211132</c:v>
              </c:pt>
              <c:pt idx="16">
                <c:v>1.4067001134255481</c:v>
              </c:pt>
              <c:pt idx="17">
                <c:v>1.4935420479299832</c:v>
              </c:pt>
              <c:pt idx="18">
                <c:v>1.5803839824344184</c:v>
              </c:pt>
              <c:pt idx="19">
                <c:v>1.6672259169388535</c:v>
              </c:pt>
              <c:pt idx="20">
                <c:v>1.7540678514432886</c:v>
              </c:pt>
              <c:pt idx="21">
                <c:v>1.8409097859477237</c:v>
              </c:pt>
              <c:pt idx="22">
                <c:v>1.9277517204521588</c:v>
              </c:pt>
              <c:pt idx="23">
                <c:v>2.0145936549565935</c:v>
              </c:pt>
              <c:pt idx="24">
                <c:v>2.1014355894610288</c:v>
              </c:pt>
              <c:pt idx="25">
                <c:v>2.1882775239654633</c:v>
              </c:pt>
              <c:pt idx="26">
                <c:v>2.2751194584698986</c:v>
              </c:pt>
              <c:pt idx="27">
                <c:v>2.3619613929743339</c:v>
              </c:pt>
              <c:pt idx="28">
                <c:v>2.4488033274787688</c:v>
              </c:pt>
              <c:pt idx="29">
                <c:v>2.5356452619832042</c:v>
              </c:pt>
              <c:pt idx="30">
                <c:v>2.6224871964876391</c:v>
              </c:pt>
              <c:pt idx="31">
                <c:v>2.7093291309920735</c:v>
              </c:pt>
              <c:pt idx="32">
                <c:v>2.7961710654965093</c:v>
              </c:pt>
              <c:pt idx="33">
                <c:v>2.8830130000009446</c:v>
              </c:pt>
              <c:pt idx="34">
                <c:v>2.9698549345053791</c:v>
              </c:pt>
              <c:pt idx="35">
                <c:v>3.0566968690098149</c:v>
              </c:pt>
              <c:pt idx="36">
                <c:v>3.1435388035142493</c:v>
              </c:pt>
              <c:pt idx="37">
                <c:v>3.2303807380186842</c:v>
              </c:pt>
              <c:pt idx="38">
                <c:v>3.3172226725231195</c:v>
              </c:pt>
              <c:pt idx="39">
                <c:v>3.4040646070275549</c:v>
              </c:pt>
              <c:pt idx="40">
                <c:v>3.4909065415319898</c:v>
              </c:pt>
              <c:pt idx="41">
                <c:v>3.5777484760364251</c:v>
              </c:pt>
              <c:pt idx="42">
                <c:v>3.66459041054086</c:v>
              </c:pt>
              <c:pt idx="43">
                <c:v>3.7514323450452949</c:v>
              </c:pt>
              <c:pt idx="44">
                <c:v>3.8382742795497302</c:v>
              </c:pt>
              <c:pt idx="45">
                <c:v>3.9251162140541651</c:v>
              </c:pt>
              <c:pt idx="46">
                <c:v>4.0119581485586</c:v>
              </c:pt>
              <c:pt idx="47">
                <c:v>4.0988000830630353</c:v>
              </c:pt>
              <c:pt idx="48">
                <c:v>4.1856420175674698</c:v>
              </c:pt>
              <c:pt idx="49">
                <c:v>4.2724839520719051</c:v>
              </c:pt>
              <c:pt idx="50">
                <c:v>4.3593258865763405</c:v>
              </c:pt>
              <c:pt idx="51">
                <c:v>4.4461678210807749</c:v>
              </c:pt>
              <c:pt idx="52">
                <c:v>4.5330097555852102</c:v>
              </c:pt>
              <c:pt idx="53">
                <c:v>4.6198516900896456</c:v>
              </c:pt>
              <c:pt idx="54">
                <c:v>4.70669362459408</c:v>
              </c:pt>
              <c:pt idx="55">
                <c:v>4.7935355590985154</c:v>
              </c:pt>
              <c:pt idx="56">
                <c:v>4.8803774936029507</c:v>
              </c:pt>
              <c:pt idx="57">
                <c:v>4.9672194281073851</c:v>
              </c:pt>
              <c:pt idx="58">
                <c:v>5.0540613626118205</c:v>
              </c:pt>
              <c:pt idx="59">
                <c:v>5.1409032971162558</c:v>
              </c:pt>
              <c:pt idx="60">
                <c:v>5.2277452316206903</c:v>
              </c:pt>
              <c:pt idx="61">
                <c:v>5.3145871661251256</c:v>
              </c:pt>
              <c:pt idx="62">
                <c:v>5.4014291006295609</c:v>
              </c:pt>
              <c:pt idx="63">
                <c:v>5.4882710351339963</c:v>
              </c:pt>
              <c:pt idx="64">
                <c:v>5.5751129696384316</c:v>
              </c:pt>
              <c:pt idx="65">
                <c:v>5.661954904142867</c:v>
              </c:pt>
              <c:pt idx="66">
                <c:v>5.7487968386473014</c:v>
              </c:pt>
              <c:pt idx="67">
                <c:v>5.8356387731517367</c:v>
              </c:pt>
              <c:pt idx="68">
                <c:v>5.9224807076561721</c:v>
              </c:pt>
              <c:pt idx="69">
                <c:v>6.0093226421606065</c:v>
              </c:pt>
              <c:pt idx="70">
                <c:v>6.0961645766650419</c:v>
              </c:pt>
              <c:pt idx="71">
                <c:v>6.1830065111694772</c:v>
              </c:pt>
              <c:pt idx="72">
                <c:v>6.2698484456739108</c:v>
              </c:pt>
              <c:pt idx="73">
                <c:v>6.356690380178347</c:v>
              </c:pt>
              <c:pt idx="74">
                <c:v>6.4435323146827823</c:v>
              </c:pt>
              <c:pt idx="75">
                <c:v>6.5303742491872177</c:v>
              </c:pt>
              <c:pt idx="76">
                <c:v>6.617216183691653</c:v>
              </c:pt>
              <c:pt idx="77">
                <c:v>6.7040581181960883</c:v>
              </c:pt>
              <c:pt idx="78">
                <c:v>6.7909000527005219</c:v>
              </c:pt>
              <c:pt idx="79">
                <c:v>6.8777419872049581</c:v>
              </c:pt>
              <c:pt idx="80">
                <c:v>6.9645839217093934</c:v>
              </c:pt>
              <c:pt idx="81">
                <c:v>7.051425856213827</c:v>
              </c:pt>
              <c:pt idx="82">
                <c:v>7.1382677907182623</c:v>
              </c:pt>
              <c:pt idx="83">
                <c:v>7.2251097252226977</c:v>
              </c:pt>
              <c:pt idx="84">
                <c:v>7.3119516597271321</c:v>
              </c:pt>
              <c:pt idx="85">
                <c:v>7.3987935942315675</c:v>
              </c:pt>
              <c:pt idx="86">
                <c:v>7.4856355287360028</c:v>
              </c:pt>
              <c:pt idx="87">
                <c:v>7.5724774632404372</c:v>
              </c:pt>
              <c:pt idx="88">
                <c:v>7.6593193977448726</c:v>
              </c:pt>
              <c:pt idx="89">
                <c:v>7.7461613322493079</c:v>
              </c:pt>
              <c:pt idx="90">
                <c:v>7.8330032667537433</c:v>
              </c:pt>
              <c:pt idx="91">
                <c:v>7.9198452012581786</c:v>
              </c:pt>
              <c:pt idx="92">
                <c:v>8.006687135762613</c:v>
              </c:pt>
              <c:pt idx="93">
                <c:v>8.0935290702670493</c:v>
              </c:pt>
              <c:pt idx="94">
                <c:v>8.1803710047714837</c:v>
              </c:pt>
              <c:pt idx="95">
                <c:v>8.2672129392759199</c:v>
              </c:pt>
              <c:pt idx="96">
                <c:v>8.3540548737803526</c:v>
              </c:pt>
              <c:pt idx="97">
                <c:v>8.4408968082847871</c:v>
              </c:pt>
              <c:pt idx="98">
                <c:v>8.5277387427892233</c:v>
              </c:pt>
              <c:pt idx="99">
                <c:v>8.6145806772936577</c:v>
              </c:pt>
            </c:numLit>
          </c:yVal>
          <c:smooth val="0"/>
          <c:extLst>
            <c:ext xmlns:c16="http://schemas.microsoft.com/office/drawing/2014/chart" uri="{C3380CC4-5D6E-409C-BE32-E72D297353CC}">
              <c16:uniqueId val="{00000001-A38A-4497-98F2-67AE3F65DB00}"/>
            </c:ext>
          </c:extLst>
        </c:ser>
        <c:dLbls>
          <c:showLegendKey val="0"/>
          <c:showVal val="0"/>
          <c:showCatName val="0"/>
          <c:showSerName val="0"/>
          <c:showPercent val="0"/>
          <c:showBubbleSize val="0"/>
        </c:dLbls>
        <c:axId val="774531120"/>
        <c:axId val="774536696"/>
      </c:scatterChart>
      <c:valAx>
        <c:axId val="774531120"/>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SpacecraftMass[Kg]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4536696"/>
        <c:crosses val="autoZero"/>
        <c:crossBetween val="midCat"/>
      </c:valAx>
      <c:valAx>
        <c:axId val="77453669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Propellant Mass [Kg]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453112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Spacecraft dry mass vs tank volume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Spacecraft mass vs tank volume</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8.4581057214468906E-3</c:v>
              </c:pt>
              <c:pt idx="1">
                <c:v>5.1090375973992325E-2</c:v>
              </c:pt>
              <c:pt idx="2">
                <c:v>9.3722646226537754E-2</c:v>
              </c:pt>
              <c:pt idx="3">
                <c:v>0.13635491647908318</c:v>
              </c:pt>
              <c:pt idx="4">
                <c:v>0.17898718673162864</c:v>
              </c:pt>
              <c:pt idx="5">
                <c:v>0.2216194569841741</c:v>
              </c:pt>
              <c:pt idx="6">
                <c:v>0.26425172723671952</c:v>
              </c:pt>
              <c:pt idx="7">
                <c:v>0.30688399748926498</c:v>
              </c:pt>
              <c:pt idx="8">
                <c:v>0.34951626774181038</c:v>
              </c:pt>
              <c:pt idx="9">
                <c:v>0.39214853799435578</c:v>
              </c:pt>
              <c:pt idx="10">
                <c:v>0.43478080824690135</c:v>
              </c:pt>
              <c:pt idx="11">
                <c:v>0.4774130784994467</c:v>
              </c:pt>
              <c:pt idx="12">
                <c:v>0.52004534875199215</c:v>
              </c:pt>
              <c:pt idx="13">
                <c:v>0.5626776190045375</c:v>
              </c:pt>
              <c:pt idx="14">
                <c:v>0.60530988925708307</c:v>
              </c:pt>
              <c:pt idx="15">
                <c:v>0.64794215950962852</c:v>
              </c:pt>
              <c:pt idx="16">
                <c:v>0.69057442976217376</c:v>
              </c:pt>
              <c:pt idx="17">
                <c:v>0.73320670001471933</c:v>
              </c:pt>
              <c:pt idx="18">
                <c:v>0.77583897026726478</c:v>
              </c:pt>
              <c:pt idx="19">
                <c:v>0.81847124051981024</c:v>
              </c:pt>
              <c:pt idx="20">
                <c:v>0.8611035107723557</c:v>
              </c:pt>
              <c:pt idx="21">
                <c:v>0.90373578102490115</c:v>
              </c:pt>
              <c:pt idx="22">
                <c:v>0.94636805127744661</c:v>
              </c:pt>
              <c:pt idx="23">
                <c:v>0.98900032152999195</c:v>
              </c:pt>
              <c:pt idx="24">
                <c:v>1.0316325917825375</c:v>
              </c:pt>
              <c:pt idx="25">
                <c:v>1.0742648620350828</c:v>
              </c:pt>
              <c:pt idx="26">
                <c:v>1.1168971322876282</c:v>
              </c:pt>
              <c:pt idx="27">
                <c:v>1.1595294025401737</c:v>
              </c:pt>
              <c:pt idx="28">
                <c:v>1.2021616727927191</c:v>
              </c:pt>
              <c:pt idx="29">
                <c:v>1.2447939430452646</c:v>
              </c:pt>
              <c:pt idx="30">
                <c:v>1.28742621329781</c:v>
              </c:pt>
              <c:pt idx="31">
                <c:v>1.3300584835503553</c:v>
              </c:pt>
              <c:pt idx="32">
                <c:v>1.372690753802901</c:v>
              </c:pt>
              <c:pt idx="33">
                <c:v>1.4153230240554466</c:v>
              </c:pt>
              <c:pt idx="34">
                <c:v>1.4579552943079919</c:v>
              </c:pt>
              <c:pt idx="35">
                <c:v>1.5005875645605373</c:v>
              </c:pt>
              <c:pt idx="36">
                <c:v>1.5432198348130826</c:v>
              </c:pt>
              <c:pt idx="37">
                <c:v>1.585852105065628</c:v>
              </c:pt>
              <c:pt idx="38">
                <c:v>1.6284843753181735</c:v>
              </c:pt>
              <c:pt idx="39">
                <c:v>1.6711166455707192</c:v>
              </c:pt>
              <c:pt idx="40">
                <c:v>1.7137489158232646</c:v>
              </c:pt>
              <c:pt idx="41">
                <c:v>1.7563811860758101</c:v>
              </c:pt>
              <c:pt idx="42">
                <c:v>1.7990134563283555</c:v>
              </c:pt>
              <c:pt idx="43">
                <c:v>1.8416457265809008</c:v>
              </c:pt>
              <c:pt idx="44">
                <c:v>1.8842779968334462</c:v>
              </c:pt>
              <c:pt idx="45">
                <c:v>1.9269102670859917</c:v>
              </c:pt>
              <c:pt idx="46">
                <c:v>1.9695425373385371</c:v>
              </c:pt>
              <c:pt idx="47">
                <c:v>2.0121748075910828</c:v>
              </c:pt>
              <c:pt idx="48">
                <c:v>2.0548070778436278</c:v>
              </c:pt>
              <c:pt idx="49">
                <c:v>2.0974393480961733</c:v>
              </c:pt>
              <c:pt idx="50">
                <c:v>2.1400716183487187</c:v>
              </c:pt>
              <c:pt idx="51">
                <c:v>2.1827038886012642</c:v>
              </c:pt>
              <c:pt idx="52">
                <c:v>2.2253361588538096</c:v>
              </c:pt>
              <c:pt idx="53">
                <c:v>2.2679684291063555</c:v>
              </c:pt>
              <c:pt idx="54">
                <c:v>2.3106006993589001</c:v>
              </c:pt>
              <c:pt idx="55">
                <c:v>2.3532329696114456</c:v>
              </c:pt>
              <c:pt idx="56">
                <c:v>2.3958652398639915</c:v>
              </c:pt>
              <c:pt idx="57">
                <c:v>2.4384975101165365</c:v>
              </c:pt>
              <c:pt idx="58">
                <c:v>2.4811297803690824</c:v>
              </c:pt>
              <c:pt idx="59">
                <c:v>2.5237620506216278</c:v>
              </c:pt>
              <c:pt idx="60">
                <c:v>2.5663943208741729</c:v>
              </c:pt>
              <c:pt idx="61">
                <c:v>2.6090265911267183</c:v>
              </c:pt>
              <c:pt idx="62">
                <c:v>2.6516588613792642</c:v>
              </c:pt>
              <c:pt idx="63">
                <c:v>2.6942911316318097</c:v>
              </c:pt>
              <c:pt idx="64">
                <c:v>2.7369234018843551</c:v>
              </c:pt>
              <c:pt idx="65">
                <c:v>2.779555672136901</c:v>
              </c:pt>
              <c:pt idx="66">
                <c:v>2.8221879423894456</c:v>
              </c:pt>
              <c:pt idx="67">
                <c:v>2.8648202126419915</c:v>
              </c:pt>
              <c:pt idx="68">
                <c:v>2.9074524828945369</c:v>
              </c:pt>
              <c:pt idx="69">
                <c:v>2.9500847531470824</c:v>
              </c:pt>
              <c:pt idx="70">
                <c:v>2.9927170233996279</c:v>
              </c:pt>
              <c:pt idx="71">
                <c:v>3.0353492936521733</c:v>
              </c:pt>
              <c:pt idx="72">
                <c:v>3.0779815639047179</c:v>
              </c:pt>
              <c:pt idx="73">
                <c:v>3.1206138341572638</c:v>
              </c:pt>
              <c:pt idx="74">
                <c:v>3.1632461044098097</c:v>
              </c:pt>
              <c:pt idx="75">
                <c:v>3.2058783746623551</c:v>
              </c:pt>
              <c:pt idx="76">
                <c:v>3.248510644914901</c:v>
              </c:pt>
              <c:pt idx="77">
                <c:v>3.2911429151674465</c:v>
              </c:pt>
              <c:pt idx="78">
                <c:v>3.3337751854199911</c:v>
              </c:pt>
              <c:pt idx="79">
                <c:v>3.376407455672537</c:v>
              </c:pt>
              <c:pt idx="80">
                <c:v>3.4190397259250824</c:v>
              </c:pt>
              <c:pt idx="81">
                <c:v>3.4616719961776274</c:v>
              </c:pt>
              <c:pt idx="82">
                <c:v>3.5043042664301729</c:v>
              </c:pt>
              <c:pt idx="83">
                <c:v>3.5469365366827188</c:v>
              </c:pt>
              <c:pt idx="84">
                <c:v>3.5895688069352634</c:v>
              </c:pt>
              <c:pt idx="85">
                <c:v>3.6322010771878093</c:v>
              </c:pt>
              <c:pt idx="86">
                <c:v>3.6748333474403547</c:v>
              </c:pt>
              <c:pt idx="87">
                <c:v>3.7174656176929002</c:v>
              </c:pt>
              <c:pt idx="88">
                <c:v>3.7600978879454456</c:v>
              </c:pt>
              <c:pt idx="89">
                <c:v>3.8027301581979911</c:v>
              </c:pt>
              <c:pt idx="90">
                <c:v>3.8453624284505366</c:v>
              </c:pt>
              <c:pt idx="91">
                <c:v>3.887994698703082</c:v>
              </c:pt>
              <c:pt idx="92">
                <c:v>3.9306269689556275</c:v>
              </c:pt>
              <c:pt idx="93">
                <c:v>3.9732592392081734</c:v>
              </c:pt>
              <c:pt idx="94">
                <c:v>4.0158915094607188</c:v>
              </c:pt>
              <c:pt idx="95">
                <c:v>4.0585237797132647</c:v>
              </c:pt>
              <c:pt idx="96">
                <c:v>4.1011560499658088</c:v>
              </c:pt>
              <c:pt idx="97">
                <c:v>4.1437883202183539</c:v>
              </c:pt>
              <c:pt idx="98">
                <c:v>4.1864205904708998</c:v>
              </c:pt>
              <c:pt idx="99">
                <c:v>4.2290528607234448</c:v>
              </c:pt>
            </c:numLit>
          </c:yVal>
          <c:smooth val="0"/>
          <c:extLst>
            <c:ext xmlns:c16="http://schemas.microsoft.com/office/drawing/2014/chart" uri="{C3380CC4-5D6E-409C-BE32-E72D297353CC}">
              <c16:uniqueId val="{00000001-66FA-45B0-80F7-7A1F2583F78B}"/>
            </c:ext>
          </c:extLst>
        </c:ser>
        <c:dLbls>
          <c:showLegendKey val="0"/>
          <c:showVal val="0"/>
          <c:showCatName val="0"/>
          <c:showSerName val="0"/>
          <c:showPercent val="0"/>
          <c:showBubbleSize val="0"/>
        </c:dLbls>
        <c:axId val="774497664"/>
        <c:axId val="774495040"/>
      </c:scatterChart>
      <c:valAx>
        <c:axId val="77449766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SpacecraftMass[Kg]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4495040"/>
        <c:crosses val="autoZero"/>
        <c:crossBetween val="midCat"/>
      </c:valAx>
      <c:valAx>
        <c:axId val="77449504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Tank Volume [m^3]</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449766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Spacecraft dry mass vs thrust level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Spacecraft dry mass vs thrust level</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10.009305781086335</c:v>
              </c:pt>
              <c:pt idx="1">
                <c:v>60.460251081713416</c:v>
              </c:pt>
              <c:pt idx="2">
                <c:v>110.91119638234049</c:v>
              </c:pt>
              <c:pt idx="3">
                <c:v>161.36214168296758</c:v>
              </c:pt>
              <c:pt idx="4">
                <c:v>211.81308698359464</c:v>
              </c:pt>
              <c:pt idx="5">
                <c:v>262.26403228422174</c:v>
              </c:pt>
              <c:pt idx="6">
                <c:v>312.71497758484884</c:v>
              </c:pt>
              <c:pt idx="7">
                <c:v>363.16592288547588</c:v>
              </c:pt>
              <c:pt idx="8">
                <c:v>413.61686818610298</c:v>
              </c:pt>
              <c:pt idx="9">
                <c:v>464.06781348673013</c:v>
              </c:pt>
              <c:pt idx="10">
                <c:v>514.51875878735723</c:v>
              </c:pt>
              <c:pt idx="11">
                <c:v>564.96970408798427</c:v>
              </c:pt>
              <c:pt idx="12">
                <c:v>615.42064938861131</c:v>
              </c:pt>
              <c:pt idx="13">
                <c:v>665.87159468923835</c:v>
              </c:pt>
              <c:pt idx="14">
                <c:v>716.32253998986539</c:v>
              </c:pt>
              <c:pt idx="15">
                <c:v>766.77348529049243</c:v>
              </c:pt>
              <c:pt idx="16">
                <c:v>817.22443059111959</c:v>
              </c:pt>
              <c:pt idx="17">
                <c:v>867.67537589174663</c:v>
              </c:pt>
              <c:pt idx="18">
                <c:v>918.12632119237367</c:v>
              </c:pt>
              <c:pt idx="19">
                <c:v>968.57726649300082</c:v>
              </c:pt>
              <c:pt idx="20">
                <c:v>1019.028211793628</c:v>
              </c:pt>
              <c:pt idx="21">
                <c:v>1069.479157094255</c:v>
              </c:pt>
              <c:pt idx="22">
                <c:v>1119.9301023948822</c:v>
              </c:pt>
              <c:pt idx="23">
                <c:v>1170.3810476955093</c:v>
              </c:pt>
              <c:pt idx="24">
                <c:v>1220.8319929961363</c:v>
              </c:pt>
              <c:pt idx="25">
                <c:v>1271.2829382967634</c:v>
              </c:pt>
              <c:pt idx="26">
                <c:v>1321.7338835973906</c:v>
              </c:pt>
              <c:pt idx="27">
                <c:v>1372.1848288980175</c:v>
              </c:pt>
              <c:pt idx="28">
                <c:v>1422.6357741986446</c:v>
              </c:pt>
              <c:pt idx="29">
                <c:v>1473.0867194992716</c:v>
              </c:pt>
              <c:pt idx="30">
                <c:v>1523.5376647998989</c:v>
              </c:pt>
              <c:pt idx="31">
                <c:v>1573.9886101005259</c:v>
              </c:pt>
              <c:pt idx="32">
                <c:v>1624.439555401153</c:v>
              </c:pt>
              <c:pt idx="33">
                <c:v>1674.89050070178</c:v>
              </c:pt>
              <c:pt idx="34">
                <c:v>1725.3414460024071</c:v>
              </c:pt>
              <c:pt idx="35">
                <c:v>1775.792391303034</c:v>
              </c:pt>
              <c:pt idx="36">
                <c:v>1826.2433366036614</c:v>
              </c:pt>
              <c:pt idx="37">
                <c:v>1876.6942819042883</c:v>
              </c:pt>
              <c:pt idx="38">
                <c:v>1927.1452272049155</c:v>
              </c:pt>
              <c:pt idx="39">
                <c:v>1977.5961725055424</c:v>
              </c:pt>
              <c:pt idx="40">
                <c:v>2028.0471178061696</c:v>
              </c:pt>
              <c:pt idx="41">
                <c:v>2078.4980631067965</c:v>
              </c:pt>
              <c:pt idx="42">
                <c:v>2128.9490084074237</c:v>
              </c:pt>
              <c:pt idx="43">
                <c:v>2179.3999537080508</c:v>
              </c:pt>
              <c:pt idx="44">
                <c:v>2229.850899008678</c:v>
              </c:pt>
              <c:pt idx="45">
                <c:v>2280.3018443093051</c:v>
              </c:pt>
              <c:pt idx="46">
                <c:v>2330.7527896099323</c:v>
              </c:pt>
              <c:pt idx="47">
                <c:v>2381.203734910559</c:v>
              </c:pt>
              <c:pt idx="48">
                <c:v>2431.6546802111861</c:v>
              </c:pt>
              <c:pt idx="49">
                <c:v>2482.1056255118128</c:v>
              </c:pt>
              <c:pt idx="50">
                <c:v>2532.5565708124404</c:v>
              </c:pt>
              <c:pt idx="51">
                <c:v>2583.0075161130676</c:v>
              </c:pt>
              <c:pt idx="52">
                <c:v>2633.4584614136947</c:v>
              </c:pt>
              <c:pt idx="53">
                <c:v>2683.9094067143219</c:v>
              </c:pt>
              <c:pt idx="54">
                <c:v>2734.3603520149486</c:v>
              </c:pt>
              <c:pt idx="55">
                <c:v>2784.8112973155758</c:v>
              </c:pt>
              <c:pt idx="56">
                <c:v>2835.2622426162029</c:v>
              </c:pt>
              <c:pt idx="57">
                <c:v>2885.7131879168301</c:v>
              </c:pt>
              <c:pt idx="58">
                <c:v>2936.1641332174568</c:v>
              </c:pt>
              <c:pt idx="59">
                <c:v>2986.6150785180839</c:v>
              </c:pt>
              <c:pt idx="60">
                <c:v>3037.0660238187115</c:v>
              </c:pt>
              <c:pt idx="61">
                <c:v>3087.5169691193387</c:v>
              </c:pt>
              <c:pt idx="62">
                <c:v>3137.9679144199654</c:v>
              </c:pt>
              <c:pt idx="63">
                <c:v>3188.4188597205925</c:v>
              </c:pt>
              <c:pt idx="64">
                <c:v>3238.8698050212197</c:v>
              </c:pt>
              <c:pt idx="65">
                <c:v>3289.3207503218468</c:v>
              </c:pt>
              <c:pt idx="66">
                <c:v>3339.7716956224735</c:v>
              </c:pt>
              <c:pt idx="67">
                <c:v>3390.2226409231007</c:v>
              </c:pt>
              <c:pt idx="68">
                <c:v>3440.6735862237279</c:v>
              </c:pt>
              <c:pt idx="69">
                <c:v>3491.1245315243555</c:v>
              </c:pt>
              <c:pt idx="70">
                <c:v>3541.5754768249817</c:v>
              </c:pt>
              <c:pt idx="71">
                <c:v>3592.0264221256093</c:v>
              </c:pt>
              <c:pt idx="72">
                <c:v>3642.4773674262365</c:v>
              </c:pt>
              <c:pt idx="73">
                <c:v>3692.9283127268636</c:v>
              </c:pt>
              <c:pt idx="74">
                <c:v>3743.3792580274903</c:v>
              </c:pt>
              <c:pt idx="75">
                <c:v>3793.8302033281175</c:v>
              </c:pt>
              <c:pt idx="76">
                <c:v>3844.2811486287446</c:v>
              </c:pt>
              <c:pt idx="77">
                <c:v>3894.7320939293718</c:v>
              </c:pt>
              <c:pt idx="78">
                <c:v>3945.1830392299985</c:v>
              </c:pt>
              <c:pt idx="79">
                <c:v>3995.6339845306256</c:v>
              </c:pt>
              <c:pt idx="80">
                <c:v>4046.0849298312528</c:v>
              </c:pt>
              <c:pt idx="81">
                <c:v>4096.5358751318799</c:v>
              </c:pt>
              <c:pt idx="82">
                <c:v>4146.9868204325076</c:v>
              </c:pt>
              <c:pt idx="83">
                <c:v>4197.4377657331343</c:v>
              </c:pt>
              <c:pt idx="84">
                <c:v>4247.888711033761</c:v>
              </c:pt>
              <c:pt idx="85">
                <c:v>4298.3396563343886</c:v>
              </c:pt>
              <c:pt idx="86">
                <c:v>4348.7906016350162</c:v>
              </c:pt>
              <c:pt idx="87">
                <c:v>4399.2415469356429</c:v>
              </c:pt>
              <c:pt idx="88">
                <c:v>4449.6924922362696</c:v>
              </c:pt>
              <c:pt idx="89">
                <c:v>4500.1434375368972</c:v>
              </c:pt>
              <c:pt idx="90">
                <c:v>4550.5943828375239</c:v>
              </c:pt>
              <c:pt idx="91">
                <c:v>4601.0453281381506</c:v>
              </c:pt>
              <c:pt idx="92">
                <c:v>4651.4962734387782</c:v>
              </c:pt>
              <c:pt idx="93">
                <c:v>4701.9472187394049</c:v>
              </c:pt>
              <c:pt idx="94">
                <c:v>4752.3981640400325</c:v>
              </c:pt>
              <c:pt idx="95">
                <c:v>4802.8491093406592</c:v>
              </c:pt>
              <c:pt idx="96">
                <c:v>4853.3000546412859</c:v>
              </c:pt>
              <c:pt idx="97">
                <c:v>4903.7509999419126</c:v>
              </c:pt>
              <c:pt idx="98">
                <c:v>4954.2019452425402</c:v>
              </c:pt>
              <c:pt idx="99">
                <c:v>5004.6528905431669</c:v>
              </c:pt>
            </c:numLit>
          </c:yVal>
          <c:smooth val="0"/>
          <c:extLst>
            <c:ext xmlns:c16="http://schemas.microsoft.com/office/drawing/2014/chart" uri="{C3380CC4-5D6E-409C-BE32-E72D297353CC}">
              <c16:uniqueId val="{00000001-A4BB-4DA3-99E6-9B19F9FBA6F9}"/>
            </c:ext>
          </c:extLst>
        </c:ser>
        <c:dLbls>
          <c:showLegendKey val="0"/>
          <c:showVal val="0"/>
          <c:showCatName val="0"/>
          <c:showSerName val="0"/>
          <c:showPercent val="0"/>
          <c:showBubbleSize val="0"/>
        </c:dLbls>
        <c:axId val="774502256"/>
        <c:axId val="774492744"/>
      </c:scatterChart>
      <c:valAx>
        <c:axId val="774502256"/>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Spacecraft dry Mass[Kg]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4492744"/>
        <c:crosses val="autoZero"/>
        <c:crossBetween val="midCat"/>
      </c:valAx>
      <c:valAx>
        <c:axId val="77449274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Level [N]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450225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DeltaV vs Propellant Mass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DeltaV vs Propellant 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7.5757575757575761</c:v>
              </c:pt>
              <c:pt idx="2">
                <c:v>15.151515151515152</c:v>
              </c:pt>
              <c:pt idx="3">
                <c:v>22.727272727272727</c:v>
              </c:pt>
              <c:pt idx="4">
                <c:v>30.303030303030305</c:v>
              </c:pt>
              <c:pt idx="5">
                <c:v>37.878787878787882</c:v>
              </c:pt>
              <c:pt idx="6">
                <c:v>45.454545454545453</c:v>
              </c:pt>
              <c:pt idx="7">
                <c:v>53.030303030303031</c:v>
              </c:pt>
              <c:pt idx="8">
                <c:v>60.606060606060609</c:v>
              </c:pt>
              <c:pt idx="9">
                <c:v>68.181818181818187</c:v>
              </c:pt>
              <c:pt idx="10">
                <c:v>75.757575757575765</c:v>
              </c:pt>
              <c:pt idx="11">
                <c:v>83.333333333333343</c:v>
              </c:pt>
              <c:pt idx="12">
                <c:v>90.909090909090907</c:v>
              </c:pt>
              <c:pt idx="13">
                <c:v>98.484848484848484</c:v>
              </c:pt>
              <c:pt idx="14">
                <c:v>106.06060606060606</c:v>
              </c:pt>
              <c:pt idx="15">
                <c:v>113.63636363636364</c:v>
              </c:pt>
              <c:pt idx="16">
                <c:v>121.21212121212122</c:v>
              </c:pt>
              <c:pt idx="17">
                <c:v>128.78787878787878</c:v>
              </c:pt>
              <c:pt idx="18">
                <c:v>136.36363636363637</c:v>
              </c:pt>
              <c:pt idx="19">
                <c:v>143.93939393939394</c:v>
              </c:pt>
              <c:pt idx="20">
                <c:v>151.51515151515153</c:v>
              </c:pt>
              <c:pt idx="21">
                <c:v>159.09090909090909</c:v>
              </c:pt>
              <c:pt idx="22">
                <c:v>166.66666666666669</c:v>
              </c:pt>
              <c:pt idx="23">
                <c:v>174.24242424242425</c:v>
              </c:pt>
              <c:pt idx="24">
                <c:v>181.81818181818181</c:v>
              </c:pt>
              <c:pt idx="25">
                <c:v>189.39393939393941</c:v>
              </c:pt>
              <c:pt idx="26">
                <c:v>196.96969696969697</c:v>
              </c:pt>
              <c:pt idx="27">
                <c:v>204.54545454545456</c:v>
              </c:pt>
              <c:pt idx="28">
                <c:v>212.12121212121212</c:v>
              </c:pt>
              <c:pt idx="29">
                <c:v>219.69696969696972</c:v>
              </c:pt>
              <c:pt idx="30">
                <c:v>227.27272727272728</c:v>
              </c:pt>
              <c:pt idx="31">
                <c:v>234.84848484848487</c:v>
              </c:pt>
              <c:pt idx="32">
                <c:v>242.42424242424244</c:v>
              </c:pt>
              <c:pt idx="33">
                <c:v>250</c:v>
              </c:pt>
              <c:pt idx="34">
                <c:v>257.57575757575756</c:v>
              </c:pt>
              <c:pt idx="35">
                <c:v>265.15151515151518</c:v>
              </c:pt>
              <c:pt idx="36">
                <c:v>272.72727272727275</c:v>
              </c:pt>
              <c:pt idx="37">
                <c:v>280.30303030303031</c:v>
              </c:pt>
              <c:pt idx="38">
                <c:v>287.87878787878788</c:v>
              </c:pt>
              <c:pt idx="39">
                <c:v>295.4545454545455</c:v>
              </c:pt>
              <c:pt idx="40">
                <c:v>303.03030303030306</c:v>
              </c:pt>
              <c:pt idx="41">
                <c:v>310.60606060606062</c:v>
              </c:pt>
              <c:pt idx="42">
                <c:v>318.18181818181819</c:v>
              </c:pt>
              <c:pt idx="43">
                <c:v>325.75757575757575</c:v>
              </c:pt>
              <c:pt idx="44">
                <c:v>333.33333333333337</c:v>
              </c:pt>
              <c:pt idx="45">
                <c:v>340.90909090909093</c:v>
              </c:pt>
              <c:pt idx="46">
                <c:v>348.4848484848485</c:v>
              </c:pt>
              <c:pt idx="47">
                <c:v>356.06060606060606</c:v>
              </c:pt>
              <c:pt idx="48">
                <c:v>363.63636363636363</c:v>
              </c:pt>
              <c:pt idx="49">
                <c:v>371.21212121212125</c:v>
              </c:pt>
              <c:pt idx="50">
                <c:v>378.78787878787881</c:v>
              </c:pt>
              <c:pt idx="51">
                <c:v>386.36363636363637</c:v>
              </c:pt>
              <c:pt idx="52">
                <c:v>393.93939393939394</c:v>
              </c:pt>
              <c:pt idx="53">
                <c:v>401.51515151515156</c:v>
              </c:pt>
              <c:pt idx="54">
                <c:v>409.09090909090912</c:v>
              </c:pt>
              <c:pt idx="55">
                <c:v>416.66666666666669</c:v>
              </c:pt>
              <c:pt idx="56">
                <c:v>424.24242424242425</c:v>
              </c:pt>
              <c:pt idx="57">
                <c:v>431.81818181818181</c:v>
              </c:pt>
              <c:pt idx="58">
                <c:v>439.39393939393943</c:v>
              </c:pt>
              <c:pt idx="59">
                <c:v>446.969696969697</c:v>
              </c:pt>
              <c:pt idx="60">
                <c:v>454.54545454545456</c:v>
              </c:pt>
              <c:pt idx="61">
                <c:v>462.12121212121212</c:v>
              </c:pt>
              <c:pt idx="62">
                <c:v>469.69696969696975</c:v>
              </c:pt>
              <c:pt idx="63">
                <c:v>477.27272727272731</c:v>
              </c:pt>
              <c:pt idx="64">
                <c:v>484.84848484848487</c:v>
              </c:pt>
              <c:pt idx="65">
                <c:v>492.42424242424244</c:v>
              </c:pt>
              <c:pt idx="66">
                <c:v>500</c:v>
              </c:pt>
              <c:pt idx="67">
                <c:v>507.57575757575762</c:v>
              </c:pt>
              <c:pt idx="68">
                <c:v>515.15151515151513</c:v>
              </c:pt>
              <c:pt idx="69">
                <c:v>522.72727272727275</c:v>
              </c:pt>
              <c:pt idx="70">
                <c:v>530.30303030303037</c:v>
              </c:pt>
              <c:pt idx="71">
                <c:v>537.87878787878788</c:v>
              </c:pt>
              <c:pt idx="72">
                <c:v>545.4545454545455</c:v>
              </c:pt>
              <c:pt idx="73">
                <c:v>553.030303030303</c:v>
              </c:pt>
              <c:pt idx="74">
                <c:v>560.60606060606062</c:v>
              </c:pt>
              <c:pt idx="75">
                <c:v>568.18181818181824</c:v>
              </c:pt>
              <c:pt idx="76">
                <c:v>575.75757575757575</c:v>
              </c:pt>
              <c:pt idx="77">
                <c:v>583.33333333333337</c:v>
              </c:pt>
              <c:pt idx="78">
                <c:v>590.90909090909099</c:v>
              </c:pt>
              <c:pt idx="79">
                <c:v>598.4848484848485</c:v>
              </c:pt>
              <c:pt idx="80">
                <c:v>606.06060606060612</c:v>
              </c:pt>
              <c:pt idx="81">
                <c:v>613.63636363636363</c:v>
              </c:pt>
              <c:pt idx="82">
                <c:v>621.21212121212125</c:v>
              </c:pt>
              <c:pt idx="83">
                <c:v>628.78787878787887</c:v>
              </c:pt>
              <c:pt idx="84">
                <c:v>636.36363636363637</c:v>
              </c:pt>
              <c:pt idx="85">
                <c:v>643.93939393939399</c:v>
              </c:pt>
              <c:pt idx="86">
                <c:v>651.5151515151515</c:v>
              </c:pt>
              <c:pt idx="87">
                <c:v>659.09090909090912</c:v>
              </c:pt>
              <c:pt idx="88">
                <c:v>666.66666666666674</c:v>
              </c:pt>
              <c:pt idx="89">
                <c:v>674.24242424242425</c:v>
              </c:pt>
              <c:pt idx="90">
                <c:v>681.81818181818187</c:v>
              </c:pt>
              <c:pt idx="91">
                <c:v>689.39393939393938</c:v>
              </c:pt>
              <c:pt idx="92">
                <c:v>696.969696969697</c:v>
              </c:pt>
              <c:pt idx="93">
                <c:v>704.54545454545462</c:v>
              </c:pt>
              <c:pt idx="94">
                <c:v>712.12121212121212</c:v>
              </c:pt>
              <c:pt idx="95">
                <c:v>719.69696969696975</c:v>
              </c:pt>
              <c:pt idx="96">
                <c:v>727.27272727272725</c:v>
              </c:pt>
              <c:pt idx="97">
                <c:v>734.84848484848487</c:v>
              </c:pt>
              <c:pt idx="98">
                <c:v>742.42424242424249</c:v>
              </c:pt>
              <c:pt idx="99">
                <c:v>750</c:v>
              </c:pt>
            </c:numLit>
          </c:xVal>
          <c:yVal>
            <c:numLit>
              <c:formatCode>General</c:formatCode>
              <c:ptCount val="100"/>
              <c:pt idx="0">
                <c:v>0</c:v>
              </c:pt>
              <c:pt idx="1">
                <c:v>1.5478392269235586E-2</c:v>
              </c:pt>
              <c:pt idx="2">
                <c:v>3.0986748227607986E-2</c:v>
              </c:pt>
              <c:pt idx="3">
                <c:v>4.6525142053202004E-2</c:v>
              </c:pt>
              <c:pt idx="4">
                <c:v>6.2093648161758309E-2</c:v>
              </c:pt>
              <c:pt idx="5">
                <c:v>7.7692341207621349E-2</c:v>
              </c:pt>
              <c:pt idx="6">
                <c:v>9.3321296084697303E-2</c:v>
              </c:pt>
              <c:pt idx="7">
                <c:v>0.10898058792741641</c:v>
              </c:pt>
              <c:pt idx="8">
                <c:v>0.12467029211170273</c:v>
              </c:pt>
              <c:pt idx="9">
                <c:v>0.14039048425594569</c:v>
              </c:pt>
              <c:pt idx="10">
                <c:v>0.15614124022197926</c:v>
              </c:pt>
              <c:pt idx="11">
                <c:v>0.17192263611605194</c:v>
              </c:pt>
              <c:pt idx="12">
                <c:v>0.18773474828982881</c:v>
              </c:pt>
              <c:pt idx="13">
                <c:v>0.20357765334137096</c:v>
              </c:pt>
              <c:pt idx="14">
                <c:v>0.21945142811613894</c:v>
              </c:pt>
              <c:pt idx="15">
                <c:v>0.23535614970798702</c:v>
              </c:pt>
              <c:pt idx="16">
                <c:v>0.25129189546017117</c:v>
              </c:pt>
              <c:pt idx="17">
                <c:v>0.26725874296636332</c:v>
              </c:pt>
              <c:pt idx="18">
                <c:v>0.28325677007166128</c:v>
              </c:pt>
              <c:pt idx="19">
                <c:v>0.29928605487360738</c:v>
              </c:pt>
              <c:pt idx="20">
                <c:v>0.31534667572322117</c:v>
              </c:pt>
              <c:pt idx="21">
                <c:v>0.33143871122603158</c:v>
              </c:pt>
              <c:pt idx="22">
                <c:v>0.34756224024309434</c:v>
              </c:pt>
              <c:pt idx="23">
                <c:v>0.36371734189205362</c:v>
              </c:pt>
              <c:pt idx="24">
                <c:v>0.37990409554817478</c:v>
              </c:pt>
              <c:pt idx="25">
                <c:v>0.39612258084540214</c:v>
              </c:pt>
              <c:pt idx="26">
                <c:v>0.41237287767740788</c:v>
              </c:pt>
              <c:pt idx="27">
                <c:v>0.42865506619865473</c:v>
              </c:pt>
              <c:pt idx="28">
                <c:v>0.44496922682547363</c:v>
              </c:pt>
              <c:pt idx="29">
                <c:v>0.46131544023711479</c:v>
              </c:pt>
              <c:pt idx="30">
                <c:v>0.47769378737683688</c:v>
              </c:pt>
              <c:pt idx="31">
                <c:v>0.49410434945299475</c:v>
              </c:pt>
              <c:pt idx="32">
                <c:v>0.51054720794010666</c:v>
              </c:pt>
              <c:pt idx="33">
                <c:v>0.52702244457997482</c:v>
              </c:pt>
              <c:pt idx="34">
                <c:v>0.5435301413827518</c:v>
              </c:pt>
              <c:pt idx="35">
                <c:v>0.56007038062807235</c:v>
              </c:pt>
              <c:pt idx="36">
                <c:v>0.57664324486614627</c:v>
              </c:pt>
              <c:pt idx="37">
                <c:v>0.59324881691887688</c:v>
              </c:pt>
              <c:pt idx="38">
                <c:v>0.60988717988097862</c:v>
              </c:pt>
              <c:pt idx="39">
                <c:v>0.62655841712111171</c:v>
              </c:pt>
              <c:pt idx="40">
                <c:v>0.64326261228299986</c:v>
              </c:pt>
              <c:pt idx="41">
                <c:v>0.6599998492865754</c:v>
              </c:pt>
              <c:pt idx="42">
                <c:v>0.67677021232912349</c:v>
              </c:pt>
              <c:pt idx="43">
                <c:v>0.69357378588642327</c:v>
              </c:pt>
              <c:pt idx="44">
                <c:v>0.71041065471390596</c:v>
              </c:pt>
              <c:pt idx="45">
                <c:v>0.72728090384781141</c:v>
              </c:pt>
              <c:pt idx="46">
                <c:v>0.7441846186063622</c:v>
              </c:pt>
              <c:pt idx="47">
                <c:v>0.76112188459092112</c:v>
              </c:pt>
              <c:pt idx="48">
                <c:v>0.77809278768717849</c:v>
              </c:pt>
              <c:pt idx="49">
                <c:v>0.79509741406633061</c:v>
              </c:pt>
              <c:pt idx="50">
                <c:v>0.81213585018626833</c:v>
              </c:pt>
              <c:pt idx="51">
                <c:v>0.82920818279277886</c:v>
              </c:pt>
              <c:pt idx="52">
                <c:v>0.84631449892073474</c:v>
              </c:pt>
              <c:pt idx="53">
                <c:v>0.86345488589530639</c:v>
              </c:pt>
              <c:pt idx="54">
                <c:v>0.88062943133318117</c:v>
              </c:pt>
              <c:pt idx="55">
                <c:v>0.89783822314377126</c:v>
              </c:pt>
              <c:pt idx="56">
                <c:v>0.91508134953044318</c:v>
              </c:pt>
              <c:pt idx="57">
                <c:v>0.93235889899175439</c:v>
              </c:pt>
              <c:pt idx="58">
                <c:v>0.94967096032268195</c:v>
              </c:pt>
              <c:pt idx="59">
                <c:v>0.96701762261586788</c:v>
              </c:pt>
              <c:pt idx="60">
                <c:v>0.98439897526287778</c:v>
              </c:pt>
              <c:pt idx="61">
                <c:v>1.0018151079554494</c:v>
              </c:pt>
              <c:pt idx="62">
                <c:v>1.0192661106867498</c:v>
              </c:pt>
              <c:pt idx="63">
                <c:v>1.036752073752655</c:v>
              </c:pt>
              <c:pt idx="64">
                <c:v>1.054273087753026</c:v>
              </c:pt>
              <c:pt idx="65">
                <c:v>1.0718292435929768</c:v>
              </c:pt>
              <c:pt idx="66">
                <c:v>1.0894206324841811</c:v>
              </c:pt>
              <c:pt idx="67">
                <c:v>1.1070473459461516</c:v>
              </c:pt>
              <c:pt idx="68">
                <c:v>1.1247094758075524</c:v>
              </c:pt>
              <c:pt idx="69">
                <c:v>1.1424071142074967</c:v>
              </c:pt>
              <c:pt idx="70">
                <c:v>1.160140353596872</c:v>
              </c:pt>
              <c:pt idx="71">
                <c:v>1.1779092867396568</c:v>
              </c:pt>
              <c:pt idx="72">
                <c:v>1.1957140067142509</c:v>
              </c:pt>
              <c:pt idx="73">
                <c:v>1.2135546069148033</c:v>
              </c:pt>
              <c:pt idx="74">
                <c:v>1.2314311810525602</c:v>
              </c:pt>
              <c:pt idx="75">
                <c:v>1.2493438231572178</c:v>
              </c:pt>
              <c:pt idx="76">
                <c:v>1.2672926275782683</c:v>
              </c:pt>
              <c:pt idx="77">
                <c:v>1.2852776889863688</c:v>
              </c:pt>
              <c:pt idx="78">
                <c:v>1.3032991023747034</c:v>
              </c:pt>
              <c:pt idx="79">
                <c:v>1.3213569630603739</c:v>
              </c:pt>
              <c:pt idx="80">
                <c:v>1.3394513666857661</c:v>
              </c:pt>
              <c:pt idx="81">
                <c:v>1.3575824092199573</c:v>
              </c:pt>
              <c:pt idx="82">
                <c:v>1.3757501869600948</c:v>
              </c:pt>
              <c:pt idx="83">
                <c:v>1.3939547965328243</c:v>
              </c:pt>
              <c:pt idx="84">
                <c:v>1.4121963348956788</c:v>
              </c:pt>
              <c:pt idx="85">
                <c:v>1.4304748993385155</c:v>
              </c:pt>
              <c:pt idx="86">
                <c:v>1.4487905874849298</c:v>
              </c:pt>
              <c:pt idx="87">
                <c:v>1.4671434972937065</c:v>
              </c:pt>
              <c:pt idx="88">
                <c:v>1.4855337270602367</c:v>
              </c:pt>
              <c:pt idx="89">
                <c:v>1.5039613754179941</c:v>
              </c:pt>
              <c:pt idx="90">
                <c:v>1.5224265413399678</c:v>
              </c:pt>
              <c:pt idx="91">
                <c:v>1.5409293241401447</c:v>
              </c:pt>
              <c:pt idx="92">
                <c:v>1.5594698234749689</c:v>
              </c:pt>
              <c:pt idx="93">
                <c:v>1.5780481393448251</c:v>
              </c:pt>
              <c:pt idx="94">
                <c:v>1.5966643720955291</c:v>
              </c:pt>
              <c:pt idx="95">
                <c:v>1.6153186224198213</c:v>
              </c:pt>
              <c:pt idx="96">
                <c:v>1.6340109913588632</c:v>
              </c:pt>
              <c:pt idx="97">
                <c:v>1.6527415803037528</c:v>
              </c:pt>
              <c:pt idx="98">
                <c:v>1.6715104909970449</c:v>
              </c:pt>
              <c:pt idx="99">
                <c:v>1.6903178255342701</c:v>
              </c:pt>
            </c:numLit>
          </c:yVal>
          <c:smooth val="0"/>
          <c:extLst>
            <c:ext xmlns:c16="http://schemas.microsoft.com/office/drawing/2014/chart" uri="{C3380CC4-5D6E-409C-BE32-E72D297353CC}">
              <c16:uniqueId val="{00000000-60FC-4A08-B96D-F87829935794}"/>
            </c:ext>
          </c:extLst>
        </c:ser>
        <c:dLbls>
          <c:showLegendKey val="0"/>
          <c:showVal val="0"/>
          <c:showCatName val="0"/>
          <c:showSerName val="0"/>
          <c:showPercent val="0"/>
          <c:showBubbleSize val="0"/>
        </c:dLbls>
        <c:axId val="619251920"/>
        <c:axId val="619254216"/>
      </c:scatterChart>
      <c:valAx>
        <c:axId val="619251920"/>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DeltaV [m/s]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54216"/>
        <c:crosses val="autoZero"/>
        <c:crossBetween val="midCat"/>
      </c:valAx>
      <c:valAx>
        <c:axId val="61925421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Propellant Mass [Kg]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5192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DeltaV VS tank volume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DeltaV VS tank volume</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7.5757575757575761</c:v>
              </c:pt>
              <c:pt idx="2">
                <c:v>15.151515151515152</c:v>
              </c:pt>
              <c:pt idx="3">
                <c:v>22.727272727272727</c:v>
              </c:pt>
              <c:pt idx="4">
                <c:v>30.303030303030305</c:v>
              </c:pt>
              <c:pt idx="5">
                <c:v>37.878787878787882</c:v>
              </c:pt>
              <c:pt idx="6">
                <c:v>45.454545454545453</c:v>
              </c:pt>
              <c:pt idx="7">
                <c:v>53.030303030303031</c:v>
              </c:pt>
              <c:pt idx="8">
                <c:v>60.606060606060609</c:v>
              </c:pt>
              <c:pt idx="9">
                <c:v>68.181818181818187</c:v>
              </c:pt>
              <c:pt idx="10">
                <c:v>75.757575757575765</c:v>
              </c:pt>
              <c:pt idx="11">
                <c:v>83.333333333333343</c:v>
              </c:pt>
              <c:pt idx="12">
                <c:v>90.909090909090907</c:v>
              </c:pt>
              <c:pt idx="13">
                <c:v>98.484848484848484</c:v>
              </c:pt>
              <c:pt idx="14">
                <c:v>106.06060606060606</c:v>
              </c:pt>
              <c:pt idx="15">
                <c:v>113.63636363636364</c:v>
              </c:pt>
              <c:pt idx="16">
                <c:v>121.21212121212122</c:v>
              </c:pt>
              <c:pt idx="17">
                <c:v>128.78787878787878</c:v>
              </c:pt>
              <c:pt idx="18">
                <c:v>136.36363636363637</c:v>
              </c:pt>
              <c:pt idx="19">
                <c:v>143.93939393939394</c:v>
              </c:pt>
              <c:pt idx="20">
                <c:v>151.51515151515153</c:v>
              </c:pt>
              <c:pt idx="21">
                <c:v>159.09090909090909</c:v>
              </c:pt>
              <c:pt idx="22">
                <c:v>166.66666666666669</c:v>
              </c:pt>
              <c:pt idx="23">
                <c:v>174.24242424242425</c:v>
              </c:pt>
              <c:pt idx="24">
                <c:v>181.81818181818181</c:v>
              </c:pt>
              <c:pt idx="25">
                <c:v>189.39393939393941</c:v>
              </c:pt>
              <c:pt idx="26">
                <c:v>196.96969696969697</c:v>
              </c:pt>
              <c:pt idx="27">
                <c:v>204.54545454545456</c:v>
              </c:pt>
              <c:pt idx="28">
                <c:v>212.12121212121212</c:v>
              </c:pt>
              <c:pt idx="29">
                <c:v>219.69696969696972</c:v>
              </c:pt>
              <c:pt idx="30">
                <c:v>227.27272727272728</c:v>
              </c:pt>
              <c:pt idx="31">
                <c:v>234.84848484848487</c:v>
              </c:pt>
              <c:pt idx="32">
                <c:v>242.42424242424244</c:v>
              </c:pt>
              <c:pt idx="33">
                <c:v>250</c:v>
              </c:pt>
              <c:pt idx="34">
                <c:v>257.57575757575756</c:v>
              </c:pt>
              <c:pt idx="35">
                <c:v>265.15151515151518</c:v>
              </c:pt>
              <c:pt idx="36">
                <c:v>272.72727272727275</c:v>
              </c:pt>
              <c:pt idx="37">
                <c:v>280.30303030303031</c:v>
              </c:pt>
              <c:pt idx="38">
                <c:v>287.87878787878788</c:v>
              </c:pt>
              <c:pt idx="39">
                <c:v>295.4545454545455</c:v>
              </c:pt>
              <c:pt idx="40">
                <c:v>303.03030303030306</c:v>
              </c:pt>
              <c:pt idx="41">
                <c:v>310.60606060606062</c:v>
              </c:pt>
              <c:pt idx="42">
                <c:v>318.18181818181819</c:v>
              </c:pt>
              <c:pt idx="43">
                <c:v>325.75757575757575</c:v>
              </c:pt>
              <c:pt idx="44">
                <c:v>333.33333333333337</c:v>
              </c:pt>
              <c:pt idx="45">
                <c:v>340.90909090909093</c:v>
              </c:pt>
              <c:pt idx="46">
                <c:v>348.4848484848485</c:v>
              </c:pt>
              <c:pt idx="47">
                <c:v>356.06060606060606</c:v>
              </c:pt>
              <c:pt idx="48">
                <c:v>363.63636363636363</c:v>
              </c:pt>
              <c:pt idx="49">
                <c:v>371.21212121212125</c:v>
              </c:pt>
              <c:pt idx="50">
                <c:v>378.78787878787881</c:v>
              </c:pt>
              <c:pt idx="51">
                <c:v>386.36363636363637</c:v>
              </c:pt>
              <c:pt idx="52">
                <c:v>393.93939393939394</c:v>
              </c:pt>
              <c:pt idx="53">
                <c:v>401.51515151515156</c:v>
              </c:pt>
              <c:pt idx="54">
                <c:v>409.09090909090912</c:v>
              </c:pt>
              <c:pt idx="55">
                <c:v>416.66666666666669</c:v>
              </c:pt>
              <c:pt idx="56">
                <c:v>424.24242424242425</c:v>
              </c:pt>
              <c:pt idx="57">
                <c:v>431.81818181818181</c:v>
              </c:pt>
              <c:pt idx="58">
                <c:v>439.39393939393943</c:v>
              </c:pt>
              <c:pt idx="59">
                <c:v>446.969696969697</c:v>
              </c:pt>
              <c:pt idx="60">
                <c:v>454.54545454545456</c:v>
              </c:pt>
              <c:pt idx="61">
                <c:v>462.12121212121212</c:v>
              </c:pt>
              <c:pt idx="62">
                <c:v>469.69696969696975</c:v>
              </c:pt>
              <c:pt idx="63">
                <c:v>477.27272727272731</c:v>
              </c:pt>
              <c:pt idx="64">
                <c:v>484.84848484848487</c:v>
              </c:pt>
              <c:pt idx="65">
                <c:v>492.42424242424244</c:v>
              </c:pt>
              <c:pt idx="66">
                <c:v>500</c:v>
              </c:pt>
              <c:pt idx="67">
                <c:v>507.57575757575762</c:v>
              </c:pt>
              <c:pt idx="68">
                <c:v>515.15151515151513</c:v>
              </c:pt>
              <c:pt idx="69">
                <c:v>522.72727272727275</c:v>
              </c:pt>
              <c:pt idx="70">
                <c:v>530.30303030303037</c:v>
              </c:pt>
              <c:pt idx="71">
                <c:v>537.87878787878788</c:v>
              </c:pt>
              <c:pt idx="72">
                <c:v>545.4545454545455</c:v>
              </c:pt>
              <c:pt idx="73">
                <c:v>553.030303030303</c:v>
              </c:pt>
              <c:pt idx="74">
                <c:v>560.60606060606062</c:v>
              </c:pt>
              <c:pt idx="75">
                <c:v>568.18181818181824</c:v>
              </c:pt>
              <c:pt idx="76">
                <c:v>575.75757575757575</c:v>
              </c:pt>
              <c:pt idx="77">
                <c:v>583.33333333333337</c:v>
              </c:pt>
              <c:pt idx="78">
                <c:v>590.90909090909099</c:v>
              </c:pt>
              <c:pt idx="79">
                <c:v>598.4848484848485</c:v>
              </c:pt>
              <c:pt idx="80">
                <c:v>606.06060606060612</c:v>
              </c:pt>
              <c:pt idx="81">
                <c:v>613.63636363636363</c:v>
              </c:pt>
              <c:pt idx="82">
                <c:v>621.21212121212125</c:v>
              </c:pt>
              <c:pt idx="83">
                <c:v>628.78787878787887</c:v>
              </c:pt>
              <c:pt idx="84">
                <c:v>636.36363636363637</c:v>
              </c:pt>
              <c:pt idx="85">
                <c:v>643.93939393939399</c:v>
              </c:pt>
              <c:pt idx="86">
                <c:v>651.5151515151515</c:v>
              </c:pt>
              <c:pt idx="87">
                <c:v>659.09090909090912</c:v>
              </c:pt>
              <c:pt idx="88">
                <c:v>666.66666666666674</c:v>
              </c:pt>
              <c:pt idx="89">
                <c:v>674.24242424242425</c:v>
              </c:pt>
              <c:pt idx="90">
                <c:v>681.81818181818187</c:v>
              </c:pt>
              <c:pt idx="91">
                <c:v>689.39393939393938</c:v>
              </c:pt>
              <c:pt idx="92">
                <c:v>696.969696969697</c:v>
              </c:pt>
              <c:pt idx="93">
                <c:v>704.54545454545462</c:v>
              </c:pt>
              <c:pt idx="94">
                <c:v>712.12121212121212</c:v>
              </c:pt>
              <c:pt idx="95">
                <c:v>719.69696969696975</c:v>
              </c:pt>
              <c:pt idx="96">
                <c:v>727.27272727272725</c:v>
              </c:pt>
              <c:pt idx="97">
                <c:v>734.84848484848487</c:v>
              </c:pt>
              <c:pt idx="98">
                <c:v>742.42424242424249</c:v>
              </c:pt>
              <c:pt idx="99">
                <c:v>750</c:v>
              </c:pt>
            </c:numLit>
          </c:xVal>
          <c:yVal>
            <c:numLit>
              <c:formatCode>General</c:formatCode>
              <c:ptCount val="100"/>
              <c:pt idx="0">
                <c:v>0</c:v>
              </c:pt>
              <c:pt idx="1">
                <c:v>7.598621634381731E-3</c:v>
              </c:pt>
              <c:pt idx="2">
                <c:v>1.5211952983607259E-2</c:v>
              </c:pt>
              <c:pt idx="3">
                <c:v>2.2840030463034858E-2</c:v>
              </c:pt>
              <c:pt idx="4">
                <c:v>3.0482890604692347E-2</c:v>
              </c:pt>
              <c:pt idx="5">
                <c:v>3.8140570057742434E-2</c:v>
              </c:pt>
              <c:pt idx="6">
                <c:v>4.5813105588953018E-2</c:v>
              </c:pt>
              <c:pt idx="7">
                <c:v>5.3500534083169571E-2</c:v>
              </c:pt>
              <c:pt idx="8">
                <c:v>6.1202892543791222E-2</c:v>
              </c:pt>
              <c:pt idx="9">
                <c:v>6.8920218093247762E-2</c:v>
              </c:pt>
              <c:pt idx="10">
                <c:v>7.6652547973480242E-2</c:v>
              </c:pt>
              <c:pt idx="11">
                <c:v>8.4399919546417249E-2</c:v>
              </c:pt>
              <c:pt idx="12">
                <c:v>9.2162370294466764E-2</c:v>
              </c:pt>
              <c:pt idx="13">
                <c:v>9.9939937820997027E-2</c:v>
              </c:pt>
              <c:pt idx="14">
                <c:v>0.10773265985082912</c:v>
              </c:pt>
              <c:pt idx="15">
                <c:v>0.11554057423072508</c:v>
              </c:pt>
              <c:pt idx="16">
                <c:v>0.12336371892988275</c:v>
              </c:pt>
              <c:pt idx="17">
                <c:v>0.13120213204043363</c:v>
              </c:pt>
              <c:pt idx="18">
                <c:v>0.13905585177793878</c:v>
              </c:pt>
              <c:pt idx="19">
                <c:v>0.14692491648188874</c:v>
              </c:pt>
              <c:pt idx="20">
                <c:v>0.15480936461621067</c:v>
              </c:pt>
              <c:pt idx="21">
                <c:v>0.16270923476977495</c:v>
              </c:pt>
              <c:pt idx="22">
                <c:v>0.17062456565689463</c:v>
              </c:pt>
              <c:pt idx="23">
                <c:v>0.17855539611784663</c:v>
              </c:pt>
              <c:pt idx="24">
                <c:v>0.18650176511937888</c:v>
              </c:pt>
              <c:pt idx="25">
                <c:v>0.19446371175522931</c:v>
              </c:pt>
              <c:pt idx="26">
                <c:v>0.2024412752466411</c:v>
              </c:pt>
              <c:pt idx="27">
                <c:v>0.21043449494288399</c:v>
              </c:pt>
              <c:pt idx="28">
                <c:v>0.2184434103217838</c:v>
              </c:pt>
              <c:pt idx="29">
                <c:v>0.22646806099023797</c:v>
              </c:pt>
              <c:pt idx="30">
                <c:v>0.23450848668475055</c:v>
              </c:pt>
              <c:pt idx="31">
                <c:v>0.24256472727196601</c:v>
              </c:pt>
              <c:pt idx="32">
                <c:v>0.25063682274919324</c:v>
              </c:pt>
              <c:pt idx="33">
                <c:v>0.25872481324495572</c:v>
              </c:pt>
              <c:pt idx="34">
                <c:v>0.26682873901951487</c:v>
              </c:pt>
              <c:pt idx="35">
                <c:v>0.27494864046542578</c:v>
              </c:pt>
              <c:pt idx="36">
                <c:v>0.28308455810807376</c:v>
              </c:pt>
              <c:pt idx="37">
                <c:v>0.29123653260622334</c:v>
              </c:pt>
              <c:pt idx="38">
                <c:v>0.29940460475256686</c:v>
              </c:pt>
              <c:pt idx="39">
                <c:v>0.30758881547428163</c:v>
              </c:pt>
              <c:pt idx="40">
                <c:v>0.31578920583357872</c:v>
              </c:pt>
              <c:pt idx="41">
                <c:v>0.32400581702826481</c:v>
              </c:pt>
              <c:pt idx="42">
                <c:v>0.33223869039230408</c:v>
              </c:pt>
              <c:pt idx="43">
                <c:v>0.34048786739637865</c:v>
              </c:pt>
              <c:pt idx="44">
                <c:v>0.34875338964845654</c:v>
              </c:pt>
              <c:pt idx="45">
                <c:v>0.35703529889436009</c:v>
              </c:pt>
              <c:pt idx="46">
                <c:v>0.36533363701834182</c:v>
              </c:pt>
              <c:pt idx="47">
                <c:v>0.37364844604365294</c:v>
              </c:pt>
              <c:pt idx="48">
                <c:v>0.3819797681331264</c:v>
              </c:pt>
              <c:pt idx="49">
                <c:v>0.39032764558975486</c:v>
              </c:pt>
              <c:pt idx="50">
                <c:v>0.39869212085727457</c:v>
              </c:pt>
              <c:pt idx="51">
                <c:v>0.40707323652075544</c:v>
              </c:pt>
              <c:pt idx="52">
                <c:v>0.41547103530718449</c:v>
              </c:pt>
              <c:pt idx="53">
                <c:v>0.42388556008606104</c:v>
              </c:pt>
              <c:pt idx="54">
                <c:v>0.43231685386999569</c:v>
              </c:pt>
              <c:pt idx="55">
                <c:v>0.4407649598153025</c:v>
              </c:pt>
              <c:pt idx="56">
                <c:v>0.44922992122260347</c:v>
              </c:pt>
              <c:pt idx="57">
                <c:v>0.45771178153743464</c:v>
              </c:pt>
              <c:pt idx="58">
                <c:v>0.46621058435085028</c:v>
              </c:pt>
              <c:pt idx="59">
                <c:v>0.47472637340003332</c:v>
              </c:pt>
              <c:pt idx="60">
                <c:v>0.48325919256891398</c:v>
              </c:pt>
              <c:pt idx="61">
                <c:v>0.49180908588878225</c:v>
              </c:pt>
              <c:pt idx="62">
                <c:v>0.50037609753890511</c:v>
              </c:pt>
              <c:pt idx="63">
                <c:v>0.50896027184715509</c:v>
              </c:pt>
              <c:pt idx="64">
                <c:v>0.51756165329063619</c:v>
              </c:pt>
              <c:pt idx="65">
                <c:v>0.52618028649630666</c:v>
              </c:pt>
              <c:pt idx="66">
                <c:v>0.53481621624162057</c:v>
              </c:pt>
              <c:pt idx="67">
                <c:v>0.54346948745515533</c:v>
              </c:pt>
              <c:pt idx="68">
                <c:v>0.55214014521725696</c:v>
              </c:pt>
              <c:pt idx="69">
                <c:v>0.56082823476067589</c:v>
              </c:pt>
              <c:pt idx="70">
                <c:v>0.56953380147121846</c:v>
              </c:pt>
              <c:pt idx="71">
                <c:v>0.57825689088839305</c:v>
              </c:pt>
              <c:pt idx="72">
                <c:v>0.58699754870606324</c:v>
              </c:pt>
              <c:pt idx="73">
                <c:v>0.5957558207730993</c:v>
              </c:pt>
              <c:pt idx="74">
                <c:v>0.60453175309404028</c:v>
              </c:pt>
              <c:pt idx="75">
                <c:v>0.61332539182975843</c:v>
              </c:pt>
              <c:pt idx="76">
                <c:v>0.62213678329811894</c:v>
              </c:pt>
              <c:pt idx="77">
                <c:v>0.63096597397465337</c:v>
              </c:pt>
              <c:pt idx="78">
                <c:v>0.63981301049322703</c:v>
              </c:pt>
              <c:pt idx="79">
                <c:v>0.6486779396467226</c:v>
              </c:pt>
              <c:pt idx="80">
                <c:v>0.65756080838771036</c:v>
              </c:pt>
              <c:pt idx="81">
                <c:v>0.66646166382913952</c:v>
              </c:pt>
              <c:pt idx="82">
                <c:v>0.67538055324501467</c:v>
              </c:pt>
              <c:pt idx="83">
                <c:v>0.68431752407109692</c:v>
              </c:pt>
              <c:pt idx="84">
                <c:v>0.69327262390558608</c:v>
              </c:pt>
              <c:pt idx="85">
                <c:v>0.70224590050982594</c:v>
              </c:pt>
              <c:pt idx="86">
                <c:v>0.71123740180899842</c:v>
              </c:pt>
              <c:pt idx="87">
                <c:v>0.72024717589283582</c:v>
              </c:pt>
              <c:pt idx="88">
                <c:v>0.7292752710163164</c:v>
              </c:pt>
              <c:pt idx="89">
                <c:v>0.73832173560038983</c:v>
              </c:pt>
              <c:pt idx="90">
                <c:v>0.74738661823267938</c:v>
              </c:pt>
              <c:pt idx="91">
                <c:v>0.75646996766821051</c:v>
              </c:pt>
              <c:pt idx="92">
                <c:v>0.76557183283012709</c:v>
              </c:pt>
              <c:pt idx="93">
                <c:v>0.77469226281041981</c:v>
              </c:pt>
              <c:pt idx="94">
                <c:v>0.78383130687065738</c:v>
              </c:pt>
              <c:pt idx="95">
                <c:v>0.7929890144427203</c:v>
              </c:pt>
              <c:pt idx="96">
                <c:v>0.8021654351295352</c:v>
              </c:pt>
              <c:pt idx="97">
                <c:v>0.81136061870581877</c:v>
              </c:pt>
              <c:pt idx="98">
                <c:v>0.82057461511882424</c:v>
              </c:pt>
              <c:pt idx="99">
                <c:v>0.82980747448908687</c:v>
              </c:pt>
            </c:numLit>
          </c:yVal>
          <c:smooth val="0"/>
          <c:extLst>
            <c:ext xmlns:c16="http://schemas.microsoft.com/office/drawing/2014/chart" uri="{C3380CC4-5D6E-409C-BE32-E72D297353CC}">
              <c16:uniqueId val="{00000000-9793-48E7-A727-37B8F4F81982}"/>
            </c:ext>
          </c:extLst>
        </c:ser>
        <c:dLbls>
          <c:showLegendKey val="0"/>
          <c:showVal val="0"/>
          <c:showCatName val="0"/>
          <c:showSerName val="0"/>
          <c:showPercent val="0"/>
          <c:showBubbleSize val="0"/>
        </c:dLbls>
        <c:axId val="619247000"/>
        <c:axId val="619253560"/>
      </c:scatterChart>
      <c:valAx>
        <c:axId val="619247000"/>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DeltaV[s]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53560"/>
        <c:crosses val="autoZero"/>
        <c:crossBetween val="midCat"/>
      </c:valAx>
      <c:valAx>
        <c:axId val="61925356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Tank Volume [m^3]</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4700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DeltaV vs thrust level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DeltaV vs thrust level</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7.5757575757575761</c:v>
              </c:pt>
              <c:pt idx="2">
                <c:v>15.151515151515152</c:v>
              </c:pt>
              <c:pt idx="3">
                <c:v>22.727272727272727</c:v>
              </c:pt>
              <c:pt idx="4">
                <c:v>30.303030303030305</c:v>
              </c:pt>
              <c:pt idx="5">
                <c:v>37.878787878787882</c:v>
              </c:pt>
              <c:pt idx="6">
                <c:v>45.454545454545453</c:v>
              </c:pt>
              <c:pt idx="7">
                <c:v>53.030303030303031</c:v>
              </c:pt>
              <c:pt idx="8">
                <c:v>60.606060606060609</c:v>
              </c:pt>
              <c:pt idx="9">
                <c:v>68.181818181818187</c:v>
              </c:pt>
              <c:pt idx="10">
                <c:v>75.757575757575765</c:v>
              </c:pt>
              <c:pt idx="11">
                <c:v>83.333333333333343</c:v>
              </c:pt>
              <c:pt idx="12">
                <c:v>90.909090909090907</c:v>
              </c:pt>
              <c:pt idx="13">
                <c:v>98.484848484848484</c:v>
              </c:pt>
              <c:pt idx="14">
                <c:v>106.06060606060606</c:v>
              </c:pt>
              <c:pt idx="15">
                <c:v>113.63636363636364</c:v>
              </c:pt>
              <c:pt idx="16">
                <c:v>121.21212121212122</c:v>
              </c:pt>
              <c:pt idx="17">
                <c:v>128.78787878787878</c:v>
              </c:pt>
              <c:pt idx="18">
                <c:v>136.36363636363637</c:v>
              </c:pt>
              <c:pt idx="19">
                <c:v>143.93939393939394</c:v>
              </c:pt>
              <c:pt idx="20">
                <c:v>151.51515151515153</c:v>
              </c:pt>
              <c:pt idx="21">
                <c:v>159.09090909090909</c:v>
              </c:pt>
              <c:pt idx="22">
                <c:v>166.66666666666669</c:v>
              </c:pt>
              <c:pt idx="23">
                <c:v>174.24242424242425</c:v>
              </c:pt>
              <c:pt idx="24">
                <c:v>181.81818181818181</c:v>
              </c:pt>
              <c:pt idx="25">
                <c:v>189.39393939393941</c:v>
              </c:pt>
              <c:pt idx="26">
                <c:v>196.96969696969697</c:v>
              </c:pt>
              <c:pt idx="27">
                <c:v>204.54545454545456</c:v>
              </c:pt>
              <c:pt idx="28">
                <c:v>212.12121212121212</c:v>
              </c:pt>
              <c:pt idx="29">
                <c:v>219.69696969696972</c:v>
              </c:pt>
              <c:pt idx="30">
                <c:v>227.27272727272728</c:v>
              </c:pt>
              <c:pt idx="31">
                <c:v>234.84848484848487</c:v>
              </c:pt>
              <c:pt idx="32">
                <c:v>242.42424242424244</c:v>
              </c:pt>
              <c:pt idx="33">
                <c:v>250</c:v>
              </c:pt>
              <c:pt idx="34">
                <c:v>257.57575757575756</c:v>
              </c:pt>
              <c:pt idx="35">
                <c:v>265.15151515151518</c:v>
              </c:pt>
              <c:pt idx="36">
                <c:v>272.72727272727275</c:v>
              </c:pt>
              <c:pt idx="37">
                <c:v>280.30303030303031</c:v>
              </c:pt>
              <c:pt idx="38">
                <c:v>287.87878787878788</c:v>
              </c:pt>
              <c:pt idx="39">
                <c:v>295.4545454545455</c:v>
              </c:pt>
              <c:pt idx="40">
                <c:v>303.03030303030306</c:v>
              </c:pt>
              <c:pt idx="41">
                <c:v>310.60606060606062</c:v>
              </c:pt>
              <c:pt idx="42">
                <c:v>318.18181818181819</c:v>
              </c:pt>
              <c:pt idx="43">
                <c:v>325.75757575757575</c:v>
              </c:pt>
              <c:pt idx="44">
                <c:v>333.33333333333337</c:v>
              </c:pt>
              <c:pt idx="45">
                <c:v>340.90909090909093</c:v>
              </c:pt>
              <c:pt idx="46">
                <c:v>348.4848484848485</c:v>
              </c:pt>
              <c:pt idx="47">
                <c:v>356.06060606060606</c:v>
              </c:pt>
              <c:pt idx="48">
                <c:v>363.63636363636363</c:v>
              </c:pt>
              <c:pt idx="49">
                <c:v>371.21212121212125</c:v>
              </c:pt>
              <c:pt idx="50">
                <c:v>378.78787878787881</c:v>
              </c:pt>
              <c:pt idx="51">
                <c:v>386.36363636363637</c:v>
              </c:pt>
              <c:pt idx="52">
                <c:v>393.93939393939394</c:v>
              </c:pt>
              <c:pt idx="53">
                <c:v>401.51515151515156</c:v>
              </c:pt>
              <c:pt idx="54">
                <c:v>409.09090909090912</c:v>
              </c:pt>
              <c:pt idx="55">
                <c:v>416.66666666666669</c:v>
              </c:pt>
              <c:pt idx="56">
                <c:v>424.24242424242425</c:v>
              </c:pt>
              <c:pt idx="57">
                <c:v>431.81818181818181</c:v>
              </c:pt>
              <c:pt idx="58">
                <c:v>439.39393939393943</c:v>
              </c:pt>
              <c:pt idx="59">
                <c:v>446.969696969697</c:v>
              </c:pt>
              <c:pt idx="60">
                <c:v>454.54545454545456</c:v>
              </c:pt>
              <c:pt idx="61">
                <c:v>462.12121212121212</c:v>
              </c:pt>
              <c:pt idx="62">
                <c:v>469.69696969696975</c:v>
              </c:pt>
              <c:pt idx="63">
                <c:v>477.27272727272731</c:v>
              </c:pt>
              <c:pt idx="64">
                <c:v>484.84848484848487</c:v>
              </c:pt>
              <c:pt idx="65">
                <c:v>492.42424242424244</c:v>
              </c:pt>
              <c:pt idx="66">
                <c:v>500</c:v>
              </c:pt>
              <c:pt idx="67">
                <c:v>507.57575757575762</c:v>
              </c:pt>
              <c:pt idx="68">
                <c:v>515.15151515151513</c:v>
              </c:pt>
              <c:pt idx="69">
                <c:v>522.72727272727275</c:v>
              </c:pt>
              <c:pt idx="70">
                <c:v>530.30303030303037</c:v>
              </c:pt>
              <c:pt idx="71">
                <c:v>537.87878787878788</c:v>
              </c:pt>
              <c:pt idx="72">
                <c:v>545.4545454545455</c:v>
              </c:pt>
              <c:pt idx="73">
                <c:v>553.030303030303</c:v>
              </c:pt>
              <c:pt idx="74">
                <c:v>560.60606060606062</c:v>
              </c:pt>
              <c:pt idx="75">
                <c:v>568.18181818181824</c:v>
              </c:pt>
              <c:pt idx="76">
                <c:v>575.75757575757575</c:v>
              </c:pt>
              <c:pt idx="77">
                <c:v>583.33333333333337</c:v>
              </c:pt>
              <c:pt idx="78">
                <c:v>590.90909090909099</c:v>
              </c:pt>
              <c:pt idx="79">
                <c:v>598.4848484848485</c:v>
              </c:pt>
              <c:pt idx="80">
                <c:v>606.06060606060612</c:v>
              </c:pt>
              <c:pt idx="81">
                <c:v>613.63636363636363</c:v>
              </c:pt>
              <c:pt idx="82">
                <c:v>621.21212121212125</c:v>
              </c:pt>
              <c:pt idx="83">
                <c:v>628.78787878787887</c:v>
              </c:pt>
              <c:pt idx="84">
                <c:v>636.36363636363637</c:v>
              </c:pt>
              <c:pt idx="85">
                <c:v>643.93939393939399</c:v>
              </c:pt>
              <c:pt idx="86">
                <c:v>651.5151515151515</c:v>
              </c:pt>
              <c:pt idx="87">
                <c:v>659.09090909090912</c:v>
              </c:pt>
              <c:pt idx="88">
                <c:v>666.66666666666674</c:v>
              </c:pt>
              <c:pt idx="89">
                <c:v>674.24242424242425</c:v>
              </c:pt>
              <c:pt idx="90">
                <c:v>681.81818181818187</c:v>
              </c:pt>
              <c:pt idx="91">
                <c:v>689.39393939393938</c:v>
              </c:pt>
              <c:pt idx="92">
                <c:v>696.969696969697</c:v>
              </c:pt>
              <c:pt idx="93">
                <c:v>704.54545454545462</c:v>
              </c:pt>
              <c:pt idx="94">
                <c:v>712.12121212121212</c:v>
              </c:pt>
              <c:pt idx="95">
                <c:v>719.69696969696975</c:v>
              </c:pt>
              <c:pt idx="96">
                <c:v>727.27272727272725</c:v>
              </c:pt>
              <c:pt idx="97">
                <c:v>734.84848484848487</c:v>
              </c:pt>
              <c:pt idx="98">
                <c:v>742.42424242424249</c:v>
              </c:pt>
              <c:pt idx="99">
                <c:v>750</c:v>
              </c:pt>
            </c:numLit>
          </c:xVal>
          <c:yVal>
            <c:numLit>
              <c:formatCode>General</c:formatCode>
              <c:ptCount val="100"/>
              <c:pt idx="0">
                <c:v>117.57942575024759</c:v>
              </c:pt>
              <c:pt idx="1">
                <c:v>117.76900288301361</c:v>
              </c:pt>
              <c:pt idx="2">
                <c:v>117.95894700675484</c:v>
              </c:pt>
              <c:pt idx="3">
                <c:v>118.14925902999386</c:v>
              </c:pt>
              <c:pt idx="4">
                <c:v>118.33993986416399</c:v>
              </c:pt>
              <c:pt idx="5">
                <c:v>118.53099042362098</c:v>
              </c:pt>
              <c:pt idx="6">
                <c:v>118.72241162565463</c:v>
              </c:pt>
              <c:pt idx="7">
                <c:v>118.91420439050071</c:v>
              </c:pt>
              <c:pt idx="8">
                <c:v>119.10636964135276</c:v>
              </c:pt>
              <c:pt idx="9">
                <c:v>119.29890830437398</c:v>
              </c:pt>
              <c:pt idx="10">
                <c:v>119.49182130870923</c:v>
              </c:pt>
              <c:pt idx="11">
                <c:v>119.68510958649699</c:v>
              </c:pt>
              <c:pt idx="12">
                <c:v>119.87877407288148</c:v>
              </c:pt>
              <c:pt idx="13">
                <c:v>120.07281570602483</c:v>
              </c:pt>
              <c:pt idx="14">
                <c:v>120.26723542711919</c:v>
              </c:pt>
              <c:pt idx="15">
                <c:v>120.46203418039912</c:v>
              </c:pt>
              <c:pt idx="16">
                <c:v>120.65721291315366</c:v>
              </c:pt>
              <c:pt idx="17">
                <c:v>120.85277257573905</c:v>
              </c:pt>
              <c:pt idx="18">
                <c:v>121.0487141215909</c:v>
              </c:pt>
              <c:pt idx="19">
                <c:v>121.24503850723674</c:v>
              </c:pt>
              <c:pt idx="20">
                <c:v>121.44174669230863</c:v>
              </c:pt>
              <c:pt idx="21">
                <c:v>121.63883963955583</c:v>
              </c:pt>
              <c:pt idx="22">
                <c:v>121.83631831485724</c:v>
              </c:pt>
              <c:pt idx="23">
                <c:v>122.03418368723449</c:v>
              </c:pt>
              <c:pt idx="24">
                <c:v>122.23243672886444</c:v>
              </c:pt>
              <c:pt idx="25">
                <c:v>122.43107841509222</c:v>
              </c:pt>
              <c:pt idx="26">
                <c:v>122.63010972444413</c:v>
              </c:pt>
              <c:pt idx="27">
                <c:v>122.82953163864053</c:v>
              </c:pt>
              <c:pt idx="28">
                <c:v>123.02934514260915</c:v>
              </c:pt>
              <c:pt idx="29">
                <c:v>123.22955122449787</c:v>
              </c:pt>
              <c:pt idx="30">
                <c:v>123.43015087568814</c:v>
              </c:pt>
              <c:pt idx="31">
                <c:v>123.6311450908083</c:v>
              </c:pt>
              <c:pt idx="32">
                <c:v>123.83253486774656</c:v>
              </c:pt>
              <c:pt idx="33">
                <c:v>124.0343212076648</c:v>
              </c:pt>
              <c:pt idx="34">
                <c:v>124.23650511501164</c:v>
              </c:pt>
              <c:pt idx="35">
                <c:v>124.43908759753627</c:v>
              </c:pt>
              <c:pt idx="36">
                <c:v>124.64206966630185</c:v>
              </c:pt>
              <c:pt idx="37">
                <c:v>124.84545233569919</c:v>
              </c:pt>
              <c:pt idx="38">
                <c:v>125.04923662346044</c:v>
              </c:pt>
              <c:pt idx="39">
                <c:v>125.25342355067305</c:v>
              </c:pt>
              <c:pt idx="40">
                <c:v>125.45801414179336</c:v>
              </c:pt>
              <c:pt idx="41">
                <c:v>125.66300942466069</c:v>
              </c:pt>
              <c:pt idx="42">
                <c:v>125.8684104305113</c:v>
              </c:pt>
              <c:pt idx="43">
                <c:v>126.07421819399246</c:v>
              </c:pt>
              <c:pt idx="44">
                <c:v>126.2804337531766</c:v>
              </c:pt>
              <c:pt idx="45">
                <c:v>126.48705814957538</c:v>
              </c:pt>
              <c:pt idx="46">
                <c:v>126.69409242815415</c:v>
              </c:pt>
              <c:pt idx="47">
                <c:v>126.90153763734621</c:v>
              </c:pt>
              <c:pt idx="48">
                <c:v>127.10939482906716</c:v>
              </c:pt>
              <c:pt idx="49">
                <c:v>127.31766505872946</c:v>
              </c:pt>
              <c:pt idx="50">
                <c:v>127.52634938525701</c:v>
              </c:pt>
              <c:pt idx="51">
                <c:v>127.73544887109981</c:v>
              </c:pt>
              <c:pt idx="52">
                <c:v>127.94496458224849</c:v>
              </c:pt>
              <c:pt idx="53">
                <c:v>128.15489758824924</c:v>
              </c:pt>
              <c:pt idx="54">
                <c:v>128.36524896221869</c:v>
              </c:pt>
              <c:pt idx="55">
                <c:v>128.57601978085879</c:v>
              </c:pt>
              <c:pt idx="56">
                <c:v>128.78721112447167</c:v>
              </c:pt>
              <c:pt idx="57">
                <c:v>128.99882407697504</c:v>
              </c:pt>
              <c:pt idx="58">
                <c:v>129.21085972591709</c:v>
              </c:pt>
              <c:pt idx="59">
                <c:v>129.42331916249171</c:v>
              </c:pt>
              <c:pt idx="60">
                <c:v>129.63620348155399</c:v>
              </c:pt>
              <c:pt idx="61">
                <c:v>129.84951378163552</c:v>
              </c:pt>
              <c:pt idx="62">
                <c:v>130.06325116495972</c:v>
              </c:pt>
              <c:pt idx="63">
                <c:v>130.27741673745754</c:v>
              </c:pt>
              <c:pt idx="64">
                <c:v>130.49201160878314</c:v>
              </c:pt>
              <c:pt idx="65">
                <c:v>130.70703689232931</c:v>
              </c:pt>
              <c:pt idx="66">
                <c:v>130.92249370524357</c:v>
              </c:pt>
              <c:pt idx="67">
                <c:v>131.13838316844385</c:v>
              </c:pt>
              <c:pt idx="68">
                <c:v>131.35470640663448</c:v>
              </c:pt>
              <c:pt idx="69">
                <c:v>131.57146454832207</c:v>
              </c:pt>
              <c:pt idx="70">
                <c:v>131.78865872583191</c:v>
              </c:pt>
              <c:pt idx="71">
                <c:v>132.0062900753239</c:v>
              </c:pt>
              <c:pt idx="72">
                <c:v>132.22435973680896</c:v>
              </c:pt>
              <c:pt idx="73">
                <c:v>132.44286885416531</c:v>
              </c:pt>
              <c:pt idx="74">
                <c:v>132.6618185751548</c:v>
              </c:pt>
              <c:pt idx="75">
                <c:v>132.88121005143975</c:v>
              </c:pt>
              <c:pt idx="76">
                <c:v>133.10104443859919</c:v>
              </c:pt>
              <c:pt idx="77">
                <c:v>133.32132289614577</c:v>
              </c:pt>
              <c:pt idx="78">
                <c:v>133.54204658754247</c:v>
              </c:pt>
              <c:pt idx="79">
                <c:v>133.76321668021947</c:v>
              </c:pt>
              <c:pt idx="80">
                <c:v>133.984834345591</c:v>
              </c:pt>
              <c:pt idx="81">
                <c:v>134.20690075907262</c:v>
              </c:pt>
              <c:pt idx="82">
                <c:v>134.42941710009799</c:v>
              </c:pt>
              <c:pt idx="83">
                <c:v>134.65238455213643</c:v>
              </c:pt>
              <c:pt idx="84">
                <c:v>134.87580430270989</c:v>
              </c:pt>
              <c:pt idx="85">
                <c:v>135.09967754341071</c:v>
              </c:pt>
              <c:pt idx="86">
                <c:v>135.3240054699186</c:v>
              </c:pt>
              <c:pt idx="87">
                <c:v>135.54878928201884</c:v>
              </c:pt>
              <c:pt idx="88">
                <c:v>135.77403018361923</c:v>
              </c:pt>
              <c:pt idx="89">
                <c:v>135.99972938276846</c:v>
              </c:pt>
              <c:pt idx="90">
                <c:v>136.22588809167354</c:v>
              </c:pt>
              <c:pt idx="91">
                <c:v>136.45250752671794</c:v>
              </c:pt>
              <c:pt idx="92">
                <c:v>136.67958890847956</c:v>
              </c:pt>
              <c:pt idx="93">
                <c:v>136.90713346174874</c:v>
              </c:pt>
              <c:pt idx="94">
                <c:v>137.13514241554677</c:v>
              </c:pt>
              <c:pt idx="95">
                <c:v>137.36361700314379</c:v>
              </c:pt>
              <c:pt idx="96">
                <c:v>137.59255846207759</c:v>
              </c:pt>
              <c:pt idx="97">
                <c:v>137.82196803417176</c:v>
              </c:pt>
              <c:pt idx="98">
                <c:v>138.05184696555457</c:v>
              </c:pt>
              <c:pt idx="99">
                <c:v>138.28219650667748</c:v>
              </c:pt>
            </c:numLit>
          </c:yVal>
          <c:smooth val="0"/>
          <c:extLst>
            <c:ext xmlns:c16="http://schemas.microsoft.com/office/drawing/2014/chart" uri="{C3380CC4-5D6E-409C-BE32-E72D297353CC}">
              <c16:uniqueId val="{00000000-506A-47B6-8E08-18D83B9F928C}"/>
            </c:ext>
          </c:extLst>
        </c:ser>
        <c:dLbls>
          <c:showLegendKey val="0"/>
          <c:showVal val="0"/>
          <c:showCatName val="0"/>
          <c:showSerName val="0"/>
          <c:showPercent val="0"/>
          <c:showBubbleSize val="0"/>
        </c:dLbls>
        <c:axId val="619255856"/>
        <c:axId val="619255200"/>
      </c:scatterChart>
      <c:valAx>
        <c:axId val="619255856"/>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DeltaV [m/s]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55200"/>
        <c:crosses val="autoZero"/>
        <c:crossBetween val="midCat"/>
      </c:valAx>
      <c:valAx>
        <c:axId val="61925520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Level [N]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1925585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Spacecraft mass vs propellant mass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Spacecraft mass vs propellant 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8.6035772234458949E-2</c:v>
              </c:pt>
              <c:pt idx="1">
                <c:v>0.51969082622430762</c:v>
              </c:pt>
              <c:pt idx="2">
                <c:v>0.95334588021415623</c:v>
              </c:pt>
              <c:pt idx="3">
                <c:v>1.3870009342040048</c:v>
              </c:pt>
              <c:pt idx="4">
                <c:v>1.8206559881938535</c:v>
              </c:pt>
              <c:pt idx="5">
                <c:v>2.2543110421837027</c:v>
              </c:pt>
              <c:pt idx="6">
                <c:v>2.6879660961735512</c:v>
              </c:pt>
              <c:pt idx="7">
                <c:v>3.1216211501633997</c:v>
              </c:pt>
              <c:pt idx="8">
                <c:v>3.5552762041532482</c:v>
              </c:pt>
              <c:pt idx="9">
                <c:v>3.9889312581430967</c:v>
              </c:pt>
              <c:pt idx="10">
                <c:v>4.4225863121329461</c:v>
              </c:pt>
              <c:pt idx="11">
                <c:v>4.8562413661227941</c:v>
              </c:pt>
              <c:pt idx="12">
                <c:v>5.2898964201126422</c:v>
              </c:pt>
              <c:pt idx="13">
                <c:v>5.7235514741024911</c:v>
              </c:pt>
              <c:pt idx="14">
                <c:v>6.15720652809234</c:v>
              </c:pt>
              <c:pt idx="15">
                <c:v>6.590861582082189</c:v>
              </c:pt>
              <c:pt idx="16">
                <c:v>7.0245166360720379</c:v>
              </c:pt>
              <c:pt idx="17">
                <c:v>7.4581716900618868</c:v>
              </c:pt>
              <c:pt idx="18">
                <c:v>7.8918267440517349</c:v>
              </c:pt>
              <c:pt idx="19">
                <c:v>8.3254817980415829</c:v>
              </c:pt>
              <c:pt idx="20">
                <c:v>8.7591368520314319</c:v>
              </c:pt>
              <c:pt idx="21">
                <c:v>9.1927919060212826</c:v>
              </c:pt>
              <c:pt idx="22">
                <c:v>9.6264469600111298</c:v>
              </c:pt>
              <c:pt idx="23">
                <c:v>10.060102014000979</c:v>
              </c:pt>
              <c:pt idx="24">
                <c:v>10.493757067990826</c:v>
              </c:pt>
              <c:pt idx="25">
                <c:v>10.927412121980675</c:v>
              </c:pt>
              <c:pt idx="26">
                <c:v>11.361067175970526</c:v>
              </c:pt>
              <c:pt idx="27">
                <c:v>11.794722229960373</c:v>
              </c:pt>
              <c:pt idx="28">
                <c:v>12.228377283950222</c:v>
              </c:pt>
              <c:pt idx="29">
                <c:v>12.662032337940069</c:v>
              </c:pt>
              <c:pt idx="30">
                <c:v>13.095687391929919</c:v>
              </c:pt>
              <c:pt idx="31">
                <c:v>13.529342445919768</c:v>
              </c:pt>
              <c:pt idx="32">
                <c:v>13.962997499909616</c:v>
              </c:pt>
              <c:pt idx="33">
                <c:v>14.396652553899466</c:v>
              </c:pt>
              <c:pt idx="34">
                <c:v>14.830307607889313</c:v>
              </c:pt>
              <c:pt idx="35">
                <c:v>15.263962661879162</c:v>
              </c:pt>
              <c:pt idx="36">
                <c:v>15.697617715869011</c:v>
              </c:pt>
              <c:pt idx="37">
                <c:v>16.13127276985886</c:v>
              </c:pt>
              <c:pt idx="38">
                <c:v>16.564927823848709</c:v>
              </c:pt>
              <c:pt idx="39">
                <c:v>16.998582877838558</c:v>
              </c:pt>
              <c:pt idx="40">
                <c:v>17.432237931828407</c:v>
              </c:pt>
              <c:pt idx="41">
                <c:v>17.865892985818256</c:v>
              </c:pt>
              <c:pt idx="42">
                <c:v>18.299548039808105</c:v>
              </c:pt>
              <c:pt idx="43">
                <c:v>18.73320309379795</c:v>
              </c:pt>
              <c:pt idx="44">
                <c:v>19.166858147787803</c:v>
              </c:pt>
              <c:pt idx="45">
                <c:v>19.600513201777652</c:v>
              </c:pt>
              <c:pt idx="46">
                <c:v>20.034168255767497</c:v>
              </c:pt>
              <c:pt idx="47">
                <c:v>20.467823309757346</c:v>
              </c:pt>
              <c:pt idx="48">
                <c:v>20.901478363747195</c:v>
              </c:pt>
              <c:pt idx="49">
                <c:v>21.33513341773704</c:v>
              </c:pt>
              <c:pt idx="50">
                <c:v>21.768788471726893</c:v>
              </c:pt>
              <c:pt idx="51">
                <c:v>22.202443525716742</c:v>
              </c:pt>
              <c:pt idx="52">
                <c:v>22.636098579706587</c:v>
              </c:pt>
              <c:pt idx="53">
                <c:v>23.06975363369644</c:v>
              </c:pt>
              <c:pt idx="54">
                <c:v>23.503408687686289</c:v>
              </c:pt>
              <c:pt idx="55">
                <c:v>23.937063741676134</c:v>
              </c:pt>
              <c:pt idx="56">
                <c:v>24.370718795665983</c:v>
              </c:pt>
              <c:pt idx="57">
                <c:v>24.804373849655835</c:v>
              </c:pt>
              <c:pt idx="58">
                <c:v>25.238028903645681</c:v>
              </c:pt>
              <c:pt idx="59">
                <c:v>25.67168395763553</c:v>
              </c:pt>
              <c:pt idx="60">
                <c:v>26.105339011625382</c:v>
              </c:pt>
              <c:pt idx="61">
                <c:v>26.538994065615228</c:v>
              </c:pt>
              <c:pt idx="62">
                <c:v>26.972649119605077</c:v>
              </c:pt>
              <c:pt idx="63">
                <c:v>27.406304173594922</c:v>
              </c:pt>
              <c:pt idx="64">
                <c:v>27.839959227584774</c:v>
              </c:pt>
              <c:pt idx="65">
                <c:v>28.273614281574623</c:v>
              </c:pt>
              <c:pt idx="66">
                <c:v>28.707269335564469</c:v>
              </c:pt>
              <c:pt idx="67">
                <c:v>29.140924389554321</c:v>
              </c:pt>
              <c:pt idx="68">
                <c:v>29.57457944354417</c:v>
              </c:pt>
              <c:pt idx="69">
                <c:v>30.008234497534016</c:v>
              </c:pt>
              <c:pt idx="70">
                <c:v>30.441889551523865</c:v>
              </c:pt>
              <c:pt idx="71">
                <c:v>30.875544605513717</c:v>
              </c:pt>
              <c:pt idx="72">
                <c:v>31.309199659503562</c:v>
              </c:pt>
              <c:pt idx="73">
                <c:v>31.742854713493411</c:v>
              </c:pt>
              <c:pt idx="74">
                <c:v>32.17650976748326</c:v>
              </c:pt>
              <c:pt idx="75">
                <c:v>32.610164821473113</c:v>
              </c:pt>
              <c:pt idx="76">
                <c:v>33.043819875462958</c:v>
              </c:pt>
              <c:pt idx="77">
                <c:v>33.477474929452811</c:v>
              </c:pt>
              <c:pt idx="78">
                <c:v>33.911129983442656</c:v>
              </c:pt>
              <c:pt idx="79">
                <c:v>34.344785037432501</c:v>
              </c:pt>
              <c:pt idx="80">
                <c:v>34.778440091422354</c:v>
              </c:pt>
              <c:pt idx="81">
                <c:v>35.212095145412206</c:v>
              </c:pt>
              <c:pt idx="82">
                <c:v>35.645750199402052</c:v>
              </c:pt>
              <c:pt idx="83">
                <c:v>36.079405253391897</c:v>
              </c:pt>
              <c:pt idx="84">
                <c:v>36.51306030738175</c:v>
              </c:pt>
              <c:pt idx="85">
                <c:v>36.946715361371595</c:v>
              </c:pt>
              <c:pt idx="86">
                <c:v>37.380370415361448</c:v>
              </c:pt>
              <c:pt idx="87">
                <c:v>37.814025469351293</c:v>
              </c:pt>
              <c:pt idx="88">
                <c:v>38.247680523341145</c:v>
              </c:pt>
              <c:pt idx="89">
                <c:v>38.681335577330991</c:v>
              </c:pt>
              <c:pt idx="90">
                <c:v>39.114990631320843</c:v>
              </c:pt>
              <c:pt idx="91">
                <c:v>39.548645685310689</c:v>
              </c:pt>
              <c:pt idx="92">
                <c:v>39.982300739300541</c:v>
              </c:pt>
              <c:pt idx="93">
                <c:v>40.415955793290387</c:v>
              </c:pt>
              <c:pt idx="94">
                <c:v>40.849610847280232</c:v>
              </c:pt>
              <c:pt idx="95">
                <c:v>41.283265901270084</c:v>
              </c:pt>
              <c:pt idx="96">
                <c:v>41.71692095525993</c:v>
              </c:pt>
              <c:pt idx="97">
                <c:v>42.150576009249775</c:v>
              </c:pt>
              <c:pt idx="98">
                <c:v>42.584231063239628</c:v>
              </c:pt>
              <c:pt idx="99">
                <c:v>43.017886117229473</c:v>
              </c:pt>
            </c:numLit>
          </c:yVal>
          <c:smooth val="0"/>
          <c:extLst>
            <c:ext xmlns:c16="http://schemas.microsoft.com/office/drawing/2014/chart" uri="{C3380CC4-5D6E-409C-BE32-E72D297353CC}">
              <c16:uniqueId val="{00000008-5025-4E64-AAB8-B18A848F78DF}"/>
            </c:ext>
          </c:extLst>
        </c:ser>
        <c:dLbls>
          <c:showLegendKey val="0"/>
          <c:showVal val="0"/>
          <c:showCatName val="0"/>
          <c:showSerName val="0"/>
          <c:showPercent val="0"/>
          <c:showBubbleSize val="0"/>
        </c:dLbls>
        <c:axId val="772999192"/>
        <c:axId val="773000504"/>
      </c:scatterChart>
      <c:valAx>
        <c:axId val="77299919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SpacecraftMass[Kg]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3000504"/>
        <c:crosses val="autoZero"/>
        <c:crossBetween val="midCat"/>
      </c:valAx>
      <c:valAx>
        <c:axId val="77300050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Propellant Mass [Kg]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299919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Spacecraft Mass vs engine peak power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Spacecraft Mass vs engine peak power</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0.56606254248305998</c:v>
              </c:pt>
              <c:pt idx="1">
                <c:v>3.4192464687360595</c:v>
              </c:pt>
              <c:pt idx="2">
                <c:v>6.2724303949890592</c:v>
              </c:pt>
              <c:pt idx="3">
                <c:v>9.1256143212420575</c:v>
              </c:pt>
              <c:pt idx="4">
                <c:v>11.978798247495057</c:v>
              </c:pt>
              <c:pt idx="5">
                <c:v>14.831982173748061</c:v>
              </c:pt>
              <c:pt idx="6">
                <c:v>17.685166100001059</c:v>
              </c:pt>
              <c:pt idx="7">
                <c:v>20.538350026254058</c:v>
              </c:pt>
              <c:pt idx="8">
                <c:v>23.391533952507054</c:v>
              </c:pt>
              <c:pt idx="9">
                <c:v>26.244717878760056</c:v>
              </c:pt>
              <c:pt idx="10">
                <c:v>29.097901805013059</c:v>
              </c:pt>
              <c:pt idx="11">
                <c:v>31.951085731266051</c:v>
              </c:pt>
              <c:pt idx="12">
                <c:v>34.804269657519043</c:v>
              </c:pt>
              <c:pt idx="13">
                <c:v>37.657453583772046</c:v>
              </c:pt>
              <c:pt idx="14">
                <c:v>40.510637510025049</c:v>
              </c:pt>
              <c:pt idx="15">
                <c:v>43.363821436278045</c:v>
              </c:pt>
              <c:pt idx="16">
                <c:v>46.217005362531054</c:v>
              </c:pt>
              <c:pt idx="17">
                <c:v>49.070189288784057</c:v>
              </c:pt>
              <c:pt idx="18">
                <c:v>51.923373215037053</c:v>
              </c:pt>
              <c:pt idx="19">
                <c:v>54.776557141290048</c:v>
              </c:pt>
              <c:pt idx="20">
                <c:v>57.629741067543044</c:v>
              </c:pt>
              <c:pt idx="21">
                <c:v>60.482924993796061</c:v>
              </c:pt>
              <c:pt idx="22">
                <c:v>63.33610892004905</c:v>
              </c:pt>
              <c:pt idx="23">
                <c:v>66.189292846302052</c:v>
              </c:pt>
              <c:pt idx="24">
                <c:v>69.042476772555034</c:v>
              </c:pt>
              <c:pt idx="25">
                <c:v>71.895660698808044</c:v>
              </c:pt>
              <c:pt idx="26">
                <c:v>74.748844625061054</c:v>
              </c:pt>
              <c:pt idx="27">
                <c:v>77.602028551314049</c:v>
              </c:pt>
              <c:pt idx="28">
                <c:v>80.455212477567045</c:v>
              </c:pt>
              <c:pt idx="29">
                <c:v>83.308396403820026</c:v>
              </c:pt>
              <c:pt idx="30">
                <c:v>86.161580330073051</c:v>
              </c:pt>
              <c:pt idx="31">
                <c:v>89.014764256326046</c:v>
              </c:pt>
              <c:pt idx="32">
                <c:v>91.867948182579028</c:v>
              </c:pt>
              <c:pt idx="33">
                <c:v>94.721132108832052</c:v>
              </c:pt>
              <c:pt idx="34">
                <c:v>97.574316035085033</c:v>
              </c:pt>
              <c:pt idx="35">
                <c:v>100.42749996133804</c:v>
              </c:pt>
              <c:pt idx="36">
                <c:v>103.28068388759104</c:v>
              </c:pt>
              <c:pt idx="37">
                <c:v>106.13386781384403</c:v>
              </c:pt>
              <c:pt idx="38">
                <c:v>108.98705174009703</c:v>
              </c:pt>
              <c:pt idx="39">
                <c:v>111.84023566635004</c:v>
              </c:pt>
              <c:pt idx="40">
                <c:v>114.69341959260304</c:v>
              </c:pt>
              <c:pt idx="41">
                <c:v>117.54660351885605</c:v>
              </c:pt>
              <c:pt idx="42">
                <c:v>120.39978744510904</c:v>
              </c:pt>
              <c:pt idx="43">
                <c:v>123.25297137136202</c:v>
              </c:pt>
              <c:pt idx="44">
                <c:v>126.10615529761505</c:v>
              </c:pt>
              <c:pt idx="45">
                <c:v>128.95933922386806</c:v>
              </c:pt>
              <c:pt idx="46">
                <c:v>131.81252315012105</c:v>
              </c:pt>
              <c:pt idx="47">
                <c:v>134.66570707637402</c:v>
              </c:pt>
              <c:pt idx="48">
                <c:v>137.51889100262702</c:v>
              </c:pt>
              <c:pt idx="49">
                <c:v>140.37207492888001</c:v>
              </c:pt>
              <c:pt idx="50">
                <c:v>143.22525885513303</c:v>
              </c:pt>
              <c:pt idx="51">
                <c:v>146.07844278138603</c:v>
              </c:pt>
              <c:pt idx="52">
                <c:v>148.93162670763903</c:v>
              </c:pt>
              <c:pt idx="53">
                <c:v>151.78481063389205</c:v>
              </c:pt>
              <c:pt idx="54">
                <c:v>154.63799456014505</c:v>
              </c:pt>
              <c:pt idx="55">
                <c:v>157.49117848639801</c:v>
              </c:pt>
              <c:pt idx="56">
                <c:v>160.34436241265101</c:v>
              </c:pt>
              <c:pt idx="57">
                <c:v>163.19754633890403</c:v>
              </c:pt>
              <c:pt idx="58">
                <c:v>166.050730265157</c:v>
              </c:pt>
              <c:pt idx="59">
                <c:v>168.90391419141002</c:v>
              </c:pt>
              <c:pt idx="60">
                <c:v>171.75709811766305</c:v>
              </c:pt>
              <c:pt idx="61">
                <c:v>174.61028204391602</c:v>
              </c:pt>
              <c:pt idx="62">
                <c:v>177.46346597016904</c:v>
              </c:pt>
              <c:pt idx="63">
                <c:v>180.31664989642198</c:v>
              </c:pt>
              <c:pt idx="64">
                <c:v>183.169833822675</c:v>
              </c:pt>
              <c:pt idx="65">
                <c:v>186.02301774892803</c:v>
              </c:pt>
              <c:pt idx="66">
                <c:v>188.87620167518099</c:v>
              </c:pt>
              <c:pt idx="67">
                <c:v>191.72938560143402</c:v>
              </c:pt>
              <c:pt idx="68">
                <c:v>194.58256952768701</c:v>
              </c:pt>
              <c:pt idx="69">
                <c:v>197.43575345394001</c:v>
              </c:pt>
              <c:pt idx="70">
                <c:v>200.288937380193</c:v>
              </c:pt>
              <c:pt idx="71">
                <c:v>203.142121306446</c:v>
              </c:pt>
              <c:pt idx="72">
                <c:v>205.995305232699</c:v>
              </c:pt>
              <c:pt idx="73">
                <c:v>208.84848915895202</c:v>
              </c:pt>
              <c:pt idx="74">
                <c:v>211.70167308520504</c:v>
              </c:pt>
              <c:pt idx="75">
                <c:v>214.55485701145807</c:v>
              </c:pt>
              <c:pt idx="76">
                <c:v>217.40804093771104</c:v>
              </c:pt>
              <c:pt idx="77">
                <c:v>220.26122486396403</c:v>
              </c:pt>
              <c:pt idx="78">
                <c:v>223.11440879021706</c:v>
              </c:pt>
              <c:pt idx="79">
                <c:v>225.96759271646999</c:v>
              </c:pt>
              <c:pt idx="80">
                <c:v>228.82077664272305</c:v>
              </c:pt>
              <c:pt idx="81">
                <c:v>231.67396056897607</c:v>
              </c:pt>
              <c:pt idx="82">
                <c:v>234.52714449522907</c:v>
              </c:pt>
              <c:pt idx="83">
                <c:v>237.38032842148201</c:v>
              </c:pt>
              <c:pt idx="84">
                <c:v>240.23351234773503</c:v>
              </c:pt>
              <c:pt idx="85">
                <c:v>243.08669627398803</c:v>
              </c:pt>
              <c:pt idx="86">
                <c:v>245.93988020024102</c:v>
              </c:pt>
              <c:pt idx="87">
                <c:v>248.79306412649404</c:v>
              </c:pt>
              <c:pt idx="88">
                <c:v>251.64624805274704</c:v>
              </c:pt>
              <c:pt idx="89">
                <c:v>254.49943197900004</c:v>
              </c:pt>
              <c:pt idx="90">
                <c:v>257.352615905253</c:v>
              </c:pt>
              <c:pt idx="91">
                <c:v>260.205799831506</c:v>
              </c:pt>
              <c:pt idx="92">
                <c:v>263.05898375775905</c:v>
              </c:pt>
              <c:pt idx="93">
                <c:v>265.91216768401199</c:v>
              </c:pt>
              <c:pt idx="94">
                <c:v>268.76535161026499</c:v>
              </c:pt>
              <c:pt idx="95">
                <c:v>271.61853553651798</c:v>
              </c:pt>
              <c:pt idx="96">
                <c:v>274.47171946277098</c:v>
              </c:pt>
              <c:pt idx="97">
                <c:v>277.32490338902397</c:v>
              </c:pt>
              <c:pt idx="98">
                <c:v>280.17808731527703</c:v>
              </c:pt>
              <c:pt idx="99">
                <c:v>283.03127124152996</c:v>
              </c:pt>
            </c:numLit>
          </c:yVal>
          <c:smooth val="0"/>
          <c:extLst>
            <c:ext xmlns:c16="http://schemas.microsoft.com/office/drawing/2014/chart" uri="{C3380CC4-5D6E-409C-BE32-E72D297353CC}">
              <c16:uniqueId val="{00000008-EBA3-4EF0-A62B-0C7AD5BDC89C}"/>
            </c:ext>
          </c:extLst>
        </c:ser>
        <c:dLbls>
          <c:showLegendKey val="0"/>
          <c:showVal val="0"/>
          <c:showCatName val="0"/>
          <c:showSerName val="0"/>
          <c:showPercent val="0"/>
          <c:showBubbleSize val="0"/>
        </c:dLbls>
        <c:axId val="773017232"/>
        <c:axId val="773017560"/>
      </c:scatterChart>
      <c:valAx>
        <c:axId val="77301723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SpacecraftMass[Kg]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3017560"/>
        <c:crosses val="autoZero"/>
        <c:crossBetween val="midCat"/>
      </c:valAx>
      <c:valAx>
        <c:axId val="77301756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Peak Power [W]</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301723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Spacecraft Mass vs thrust level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Spacecraft Mass vs thrust level</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3.6588674382620008E-5</c:v>
              </c:pt>
              <c:pt idx="1">
                <c:v>2.2101037657380572E-4</c:v>
              </c:pt>
              <c:pt idx="2">
                <c:v>4.0543207876499139E-4</c:v>
              </c:pt>
              <c:pt idx="3">
                <c:v>5.8985378095617711E-4</c:v>
              </c:pt>
              <c:pt idx="4">
                <c:v>7.7427548314736277E-4</c:v>
              </c:pt>
              <c:pt idx="5">
                <c:v>9.5869718533854876E-4</c:v>
              </c:pt>
              <c:pt idx="6">
                <c:v>1.1431188875297344E-3</c:v>
              </c:pt>
              <c:pt idx="7">
                <c:v>1.32754058972092E-3</c:v>
              </c:pt>
              <c:pt idx="8">
                <c:v>1.5119622919121058E-3</c:v>
              </c:pt>
              <c:pt idx="9">
                <c:v>1.6963839941032913E-3</c:v>
              </c:pt>
              <c:pt idx="10">
                <c:v>1.8808056962944773E-3</c:v>
              </c:pt>
              <c:pt idx="11">
                <c:v>2.0652273984856626E-3</c:v>
              </c:pt>
              <c:pt idx="12">
                <c:v>2.2496491006768482E-3</c:v>
              </c:pt>
              <c:pt idx="13">
                <c:v>2.4340708028680338E-3</c:v>
              </c:pt>
              <c:pt idx="14">
                <c:v>2.6184925050592197E-3</c:v>
              </c:pt>
              <c:pt idx="15">
                <c:v>2.8029142072504053E-3</c:v>
              </c:pt>
              <c:pt idx="16">
                <c:v>2.9873359094415913E-3</c:v>
              </c:pt>
              <c:pt idx="17">
                <c:v>3.1717576116327773E-3</c:v>
              </c:pt>
              <c:pt idx="18">
                <c:v>3.3561793138239628E-3</c:v>
              </c:pt>
              <c:pt idx="19">
                <c:v>3.5406010160151484E-3</c:v>
              </c:pt>
              <c:pt idx="20">
                <c:v>3.7250227182063335E-3</c:v>
              </c:pt>
              <c:pt idx="21">
                <c:v>3.9094444203975204E-3</c:v>
              </c:pt>
              <c:pt idx="22">
                <c:v>4.0938661225887055E-3</c:v>
              </c:pt>
              <c:pt idx="23">
                <c:v>4.2782878247798915E-3</c:v>
              </c:pt>
              <c:pt idx="24">
                <c:v>4.4627095269710758E-3</c:v>
              </c:pt>
              <c:pt idx="25">
                <c:v>4.6471312291622617E-3</c:v>
              </c:pt>
              <c:pt idx="26">
                <c:v>4.8315529313534486E-3</c:v>
              </c:pt>
              <c:pt idx="27">
                <c:v>5.0159746335446337E-3</c:v>
              </c:pt>
              <c:pt idx="28">
                <c:v>5.2003963357358197E-3</c:v>
              </c:pt>
              <c:pt idx="29">
                <c:v>5.3848180379270048E-3</c:v>
              </c:pt>
              <c:pt idx="30">
                <c:v>5.5692397401181917E-3</c:v>
              </c:pt>
              <c:pt idx="31">
                <c:v>5.7536614423093777E-3</c:v>
              </c:pt>
              <c:pt idx="32">
                <c:v>5.9380831445005619E-3</c:v>
              </c:pt>
              <c:pt idx="33">
                <c:v>6.1225048466917488E-3</c:v>
              </c:pt>
              <c:pt idx="34">
                <c:v>6.3069265488829339E-3</c:v>
              </c:pt>
              <c:pt idx="35">
                <c:v>6.4913482510741199E-3</c:v>
              </c:pt>
              <c:pt idx="36">
                <c:v>6.675769953265305E-3</c:v>
              </c:pt>
              <c:pt idx="37">
                <c:v>6.860191655456491E-3</c:v>
              </c:pt>
              <c:pt idx="38">
                <c:v>7.0446133576476761E-3</c:v>
              </c:pt>
              <c:pt idx="39">
                <c:v>7.2290350598388621E-3</c:v>
              </c:pt>
              <c:pt idx="40">
                <c:v>7.4134567620300481E-3</c:v>
              </c:pt>
              <c:pt idx="41">
                <c:v>7.5978784642212341E-3</c:v>
              </c:pt>
              <c:pt idx="42">
                <c:v>7.7823001664124201E-3</c:v>
              </c:pt>
              <c:pt idx="43">
                <c:v>7.9667218686036052E-3</c:v>
              </c:pt>
              <c:pt idx="44">
                <c:v>8.151143570794793E-3</c:v>
              </c:pt>
              <c:pt idx="45">
                <c:v>8.3355652729859789E-3</c:v>
              </c:pt>
              <c:pt idx="46">
                <c:v>8.5199869751771632E-3</c:v>
              </c:pt>
              <c:pt idx="47">
                <c:v>8.7044086773683475E-3</c:v>
              </c:pt>
              <c:pt idx="48">
                <c:v>8.8888303795595335E-3</c:v>
              </c:pt>
              <c:pt idx="49">
                <c:v>9.0732520817507177E-3</c:v>
              </c:pt>
              <c:pt idx="50">
                <c:v>9.2576737839419054E-3</c:v>
              </c:pt>
              <c:pt idx="51">
                <c:v>9.4420954861330914E-3</c:v>
              </c:pt>
              <c:pt idx="52">
                <c:v>9.6265171883242757E-3</c:v>
              </c:pt>
              <c:pt idx="53">
                <c:v>9.8109388905154634E-3</c:v>
              </c:pt>
              <c:pt idx="54">
                <c:v>9.9953605927066494E-3</c:v>
              </c:pt>
              <c:pt idx="55">
                <c:v>1.0179782294897832E-2</c:v>
              </c:pt>
              <c:pt idx="56">
                <c:v>1.0364203997089018E-2</c:v>
              </c:pt>
              <c:pt idx="57">
                <c:v>1.0548625699280206E-2</c:v>
              </c:pt>
              <c:pt idx="58">
                <c:v>1.073304740147139E-2</c:v>
              </c:pt>
              <c:pt idx="59">
                <c:v>1.0917469103662576E-2</c:v>
              </c:pt>
              <c:pt idx="60">
                <c:v>1.1101890805853764E-2</c:v>
              </c:pt>
              <c:pt idx="61">
                <c:v>1.1286312508044948E-2</c:v>
              </c:pt>
              <c:pt idx="62">
                <c:v>1.1470734210236134E-2</c:v>
              </c:pt>
              <c:pt idx="63">
                <c:v>1.1655155912427318E-2</c:v>
              </c:pt>
              <c:pt idx="64">
                <c:v>1.1839577614618506E-2</c:v>
              </c:pt>
              <c:pt idx="65">
                <c:v>1.2023999316809692E-2</c:v>
              </c:pt>
              <c:pt idx="66">
                <c:v>1.2208421019000876E-2</c:v>
              </c:pt>
              <c:pt idx="67">
                <c:v>1.2392842721192064E-2</c:v>
              </c:pt>
              <c:pt idx="68">
                <c:v>1.257726442338325E-2</c:v>
              </c:pt>
              <c:pt idx="69">
                <c:v>1.2761686125574434E-2</c:v>
              </c:pt>
              <c:pt idx="70">
                <c:v>1.294610782776562E-2</c:v>
              </c:pt>
              <c:pt idx="71">
                <c:v>1.3130529529956806E-2</c:v>
              </c:pt>
              <c:pt idx="72">
                <c:v>1.331495123214799E-2</c:v>
              </c:pt>
              <c:pt idx="73">
                <c:v>1.3499372934339176E-2</c:v>
              </c:pt>
              <c:pt idx="74">
                <c:v>1.3683794636530362E-2</c:v>
              </c:pt>
              <c:pt idx="75">
                <c:v>1.386821633872155E-2</c:v>
              </c:pt>
              <c:pt idx="76">
                <c:v>1.4052638040912734E-2</c:v>
              </c:pt>
              <c:pt idx="77">
                <c:v>1.423705974310392E-2</c:v>
              </c:pt>
              <c:pt idx="78">
                <c:v>1.4421481445295106E-2</c:v>
              </c:pt>
              <c:pt idx="79">
                <c:v>1.4605903147486289E-2</c:v>
              </c:pt>
              <c:pt idx="80">
                <c:v>1.4790324849677478E-2</c:v>
              </c:pt>
              <c:pt idx="81">
                <c:v>1.4974746551868664E-2</c:v>
              </c:pt>
              <c:pt idx="82">
                <c:v>1.515916825405985E-2</c:v>
              </c:pt>
              <c:pt idx="83">
                <c:v>1.5343589956251033E-2</c:v>
              </c:pt>
              <c:pt idx="84">
                <c:v>1.5528011658442219E-2</c:v>
              </c:pt>
              <c:pt idx="85">
                <c:v>1.5712433360633406E-2</c:v>
              </c:pt>
              <c:pt idx="86">
                <c:v>1.5896855062824591E-2</c:v>
              </c:pt>
              <c:pt idx="87">
                <c:v>1.6081276765015778E-2</c:v>
              </c:pt>
              <c:pt idx="88">
                <c:v>1.6265698467206963E-2</c:v>
              </c:pt>
              <c:pt idx="89">
                <c:v>1.645012016939815E-2</c:v>
              </c:pt>
              <c:pt idx="90">
                <c:v>1.6634541871589335E-2</c:v>
              </c:pt>
              <c:pt idx="91">
                <c:v>1.6818963573780519E-2</c:v>
              </c:pt>
              <c:pt idx="92">
                <c:v>1.7003385275971707E-2</c:v>
              </c:pt>
              <c:pt idx="93">
                <c:v>1.7187806978162891E-2</c:v>
              </c:pt>
              <c:pt idx="94">
                <c:v>1.7372228680354075E-2</c:v>
              </c:pt>
              <c:pt idx="95">
                <c:v>1.7556650382545263E-2</c:v>
              </c:pt>
              <c:pt idx="96">
                <c:v>1.7741072084736447E-2</c:v>
              </c:pt>
              <c:pt idx="97">
                <c:v>1.7925493786927631E-2</c:v>
              </c:pt>
              <c:pt idx="98">
                <c:v>1.8109915489118819E-2</c:v>
              </c:pt>
              <c:pt idx="99">
                <c:v>1.8294337191310003E-2</c:v>
              </c:pt>
            </c:numLit>
          </c:yVal>
          <c:smooth val="0"/>
          <c:extLst>
            <c:ext xmlns:c16="http://schemas.microsoft.com/office/drawing/2014/chart" uri="{C3380CC4-5D6E-409C-BE32-E72D297353CC}">
              <c16:uniqueId val="{00000008-81EF-45CB-8529-D3D2FC90EA33}"/>
            </c:ext>
          </c:extLst>
        </c:ser>
        <c:dLbls>
          <c:showLegendKey val="0"/>
          <c:showVal val="0"/>
          <c:showCatName val="0"/>
          <c:showSerName val="0"/>
          <c:showPercent val="0"/>
          <c:showBubbleSize val="0"/>
        </c:dLbls>
        <c:axId val="773025432"/>
        <c:axId val="773028384"/>
      </c:scatterChart>
      <c:valAx>
        <c:axId val="77302543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Spacecraft Mass[Kg]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3028384"/>
        <c:crosses val="autoZero"/>
        <c:crossBetween val="midCat"/>
      </c:valAx>
      <c:valAx>
        <c:axId val="77302838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Level [N]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302543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DeltaV vs propellant mass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DeltaV vs propellant 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6.8042038324177731E-5</c:v>
              </c:pt>
              <c:pt idx="1">
                <c:v>4.110904434409075E-4</c:v>
              </c:pt>
              <c:pt idx="2">
                <c:v>7.5428750346505737E-4</c:v>
              </c:pt>
              <c:pt idx="3">
                <c:v>1.0976332948488209E-3</c:v>
              </c:pt>
              <c:pt idx="4">
                <c:v>1.44112789409278E-3</c:v>
              </c:pt>
              <c:pt idx="5">
                <c:v>1.7847713777468294E-3</c:v>
              </c:pt>
              <c:pt idx="6">
                <c:v>2.1285638224092097E-3</c:v>
              </c:pt>
              <c:pt idx="7">
                <c:v>2.4725053047274298E-3</c:v>
              </c:pt>
              <c:pt idx="8">
                <c:v>2.8165959013977458E-3</c:v>
              </c:pt>
              <c:pt idx="9">
                <c:v>3.1608356891654186E-3</c:v>
              </c:pt>
              <c:pt idx="10">
                <c:v>3.5052247448246325E-3</c:v>
              </c:pt>
              <c:pt idx="11">
                <c:v>3.8497631452188699E-3</c:v>
              </c:pt>
              <c:pt idx="12">
                <c:v>4.1944509672404949E-3</c:v>
              </c:pt>
              <c:pt idx="13">
                <c:v>4.5392882878310089E-3</c:v>
              </c:pt>
              <c:pt idx="14">
                <c:v>4.8842751839813184E-3</c:v>
              </c:pt>
              <c:pt idx="15">
                <c:v>5.2294117327310839E-3</c:v>
              </c:pt>
              <c:pt idx="16">
                <c:v>5.5746980111695474E-3</c:v>
              </c:pt>
              <c:pt idx="17">
                <c:v>5.920134096435231E-3</c:v>
              </c:pt>
              <c:pt idx="18">
                <c:v>6.265720065715851E-3</c:v>
              </c:pt>
              <c:pt idx="19">
                <c:v>6.6114559962485893E-3</c:v>
              </c:pt>
              <c:pt idx="20">
                <c:v>6.957341965319888E-3</c:v>
              </c:pt>
              <c:pt idx="21">
                <c:v>7.3033780502658342E-3</c:v>
              </c:pt>
              <c:pt idx="22">
                <c:v>7.6495643284717404E-3</c:v>
              </c:pt>
              <c:pt idx="23">
                <c:v>7.9959008773727372E-3</c:v>
              </c:pt>
              <c:pt idx="24">
                <c:v>8.342387774453253E-3</c:v>
              </c:pt>
              <c:pt idx="25">
                <c:v>8.6890250972474874E-3</c:v>
              </c:pt>
              <c:pt idx="26">
                <c:v>9.0358129233391246E-3</c:v>
              </c:pt>
              <c:pt idx="27">
                <c:v>9.3827513303616911E-3</c:v>
              </c:pt>
              <c:pt idx="28">
                <c:v>9.7298403959983695E-3</c:v>
              </c:pt>
              <c:pt idx="29">
                <c:v>1.0077080197981928E-2</c:v>
              </c:pt>
              <c:pt idx="30">
                <c:v>1.042447081409519E-2</c:v>
              </c:pt>
              <c:pt idx="31">
                <c:v>1.0772012322170756E-2</c:v>
              </c:pt>
              <c:pt idx="32">
                <c:v>1.1119704800090894E-2</c:v>
              </c:pt>
              <c:pt idx="33">
                <c:v>1.1467548325788056E-2</c:v>
              </c:pt>
              <c:pt idx="34">
                <c:v>1.1815542977244546E-2</c:v>
              </c:pt>
              <c:pt idx="35">
                <c:v>1.2163688832492468E-2</c:v>
              </c:pt>
              <c:pt idx="36">
                <c:v>1.2511985969614427E-2</c:v>
              </c:pt>
              <c:pt idx="37">
                <c:v>1.2860434466742655E-2</c:v>
              </c:pt>
              <c:pt idx="38">
                <c:v>1.320903440205962E-2</c:v>
              </c:pt>
              <c:pt idx="39">
                <c:v>1.3557785853798052E-2</c:v>
              </c:pt>
              <c:pt idx="40">
                <c:v>1.3906688900240768E-2</c:v>
              </c:pt>
              <c:pt idx="41">
                <c:v>1.425574361972092E-2</c:v>
              </c:pt>
              <c:pt idx="42">
                <c:v>1.4604950090621802E-2</c:v>
              </c:pt>
              <c:pt idx="43">
                <c:v>1.4954308391377121E-2</c:v>
              </c:pt>
              <c:pt idx="44">
                <c:v>1.5303818600470804E-2</c:v>
              </c:pt>
              <c:pt idx="45">
                <c:v>1.5653480796437483E-2</c:v>
              </c:pt>
              <c:pt idx="46">
                <c:v>1.6003295057861848E-2</c:v>
              </c:pt>
              <c:pt idx="47">
                <c:v>1.6353261463379263E-2</c:v>
              </c:pt>
              <c:pt idx="48">
                <c:v>1.6703380091675667E-2</c:v>
              </c:pt>
              <c:pt idx="49">
                <c:v>1.7053651021487291E-2</c:v>
              </c:pt>
              <c:pt idx="50">
                <c:v>1.7404074331601235E-2</c:v>
              </c:pt>
              <c:pt idx="51">
                <c:v>1.7754650100855203E-2</c:v>
              </c:pt>
              <c:pt idx="52">
                <c:v>1.8105378408137376E-2</c:v>
              </c:pt>
              <c:pt idx="53">
                <c:v>1.8456259332386833E-2</c:v>
              </c:pt>
              <c:pt idx="54">
                <c:v>1.880729295259333E-2</c:v>
              </c:pt>
              <c:pt idx="55">
                <c:v>1.915847934779745E-2</c:v>
              </c:pt>
              <c:pt idx="56">
                <c:v>1.9509818597090556E-2</c:v>
              </c:pt>
              <c:pt idx="57">
                <c:v>1.9861310779615133E-2</c:v>
              </c:pt>
              <c:pt idx="58">
                <c:v>2.0212955974564271E-2</c:v>
              </c:pt>
              <c:pt idx="59">
                <c:v>2.056475426118215E-2</c:v>
              </c:pt>
              <c:pt idx="60">
                <c:v>2.0916705718763855E-2</c:v>
              </c:pt>
              <c:pt idx="61">
                <c:v>2.1268810426655758E-2</c:v>
              </c:pt>
              <c:pt idx="62">
                <c:v>2.162106846425519E-2</c:v>
              </c:pt>
              <c:pt idx="63">
                <c:v>2.1973479911010389E-2</c:v>
              </c:pt>
              <c:pt idx="64">
                <c:v>2.2326044846421096E-2</c:v>
              </c:pt>
              <c:pt idx="65">
                <c:v>2.2678763350038125E-2</c:v>
              </c:pt>
              <c:pt idx="66">
                <c:v>2.3031635501463414E-2</c:v>
              </c:pt>
              <c:pt idx="67">
                <c:v>2.3384661380350402E-2</c:v>
              </c:pt>
              <c:pt idx="68">
                <c:v>2.3737841066403594E-2</c:v>
              </c:pt>
              <c:pt idx="69">
                <c:v>2.4091174639379192E-2</c:v>
              </c:pt>
              <c:pt idx="70">
                <c:v>2.444466217908442E-2</c:v>
              </c:pt>
              <c:pt idx="71">
                <c:v>2.4798303765378508E-2</c:v>
              </c:pt>
              <c:pt idx="72">
                <c:v>2.5152099478171538E-2</c:v>
              </c:pt>
              <c:pt idx="73">
                <c:v>2.5506049397425429E-2</c:v>
              </c:pt>
              <c:pt idx="74">
                <c:v>2.5860153603153989E-2</c:v>
              </c:pt>
              <c:pt idx="75">
                <c:v>2.6214412175421996E-2</c:v>
              </c:pt>
              <c:pt idx="76">
                <c:v>2.6568825194346387E-2</c:v>
              </c:pt>
              <c:pt idx="77">
                <c:v>2.6923392740095524E-2</c:v>
              </c:pt>
              <c:pt idx="78">
                <c:v>2.7278114892889779E-2</c:v>
              </c:pt>
              <c:pt idx="79">
                <c:v>2.7632991733000982E-2</c:v>
              </c:pt>
              <c:pt idx="80">
                <c:v>2.7988023340753083E-2</c:v>
              </c:pt>
              <c:pt idx="81">
                <c:v>2.8343209796521662E-2</c:v>
              </c:pt>
              <c:pt idx="82">
                <c:v>2.8698551180734385E-2</c:v>
              </c:pt>
              <c:pt idx="83">
                <c:v>2.9054047573870846E-2</c:v>
              </c:pt>
              <c:pt idx="84">
                <c:v>2.940969905646244E-2</c:v>
              </c:pt>
              <c:pt idx="85">
                <c:v>2.9765505709092838E-2</c:v>
              </c:pt>
              <c:pt idx="86">
                <c:v>3.0121467612397531E-2</c:v>
              </c:pt>
              <c:pt idx="87">
                <c:v>3.0477584847064511E-2</c:v>
              </c:pt>
              <c:pt idx="88">
                <c:v>3.0833857493833557E-2</c:v>
              </c:pt>
              <c:pt idx="89">
                <c:v>3.1190285633496746E-2</c:v>
              </c:pt>
              <c:pt idx="90">
                <c:v>3.1546869346898522E-2</c:v>
              </c:pt>
              <c:pt idx="91">
                <c:v>3.1903608714935458E-2</c:v>
              </c:pt>
              <c:pt idx="92">
                <c:v>3.2260503818556677E-2</c:v>
              </c:pt>
              <c:pt idx="93">
                <c:v>3.261755473876328E-2</c:v>
              </c:pt>
              <c:pt idx="94">
                <c:v>3.2974761556609215E-2</c:v>
              </c:pt>
              <c:pt idx="95">
                <c:v>3.3332124353200494E-2</c:v>
              </c:pt>
              <c:pt idx="96">
                <c:v>3.3689643209696064E-2</c:v>
              </c:pt>
              <c:pt idx="97">
                <c:v>3.4047318207306866E-2</c:v>
              </c:pt>
              <c:pt idx="98">
                <c:v>3.4405149427296958E-2</c:v>
              </c:pt>
              <c:pt idx="99">
                <c:v>3.4763136950982633E-2</c:v>
              </c:pt>
            </c:numLit>
          </c:yVal>
          <c:smooth val="0"/>
          <c:extLst>
            <c:ext xmlns:c16="http://schemas.microsoft.com/office/drawing/2014/chart" uri="{C3380CC4-5D6E-409C-BE32-E72D297353CC}">
              <c16:uniqueId val="{00000009-227D-4C86-BA49-FF1A98E29C18}"/>
            </c:ext>
          </c:extLst>
        </c:ser>
        <c:dLbls>
          <c:showLegendKey val="0"/>
          <c:showVal val="0"/>
          <c:showCatName val="0"/>
          <c:showSerName val="0"/>
          <c:showPercent val="0"/>
          <c:showBubbleSize val="0"/>
        </c:dLbls>
        <c:axId val="717547584"/>
        <c:axId val="717541680"/>
      </c:scatterChart>
      <c:valAx>
        <c:axId val="71754758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DeltaV[m/s]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17541680"/>
        <c:crosses val="autoZero"/>
        <c:crossBetween val="midCat"/>
      </c:valAx>
      <c:valAx>
        <c:axId val="71754168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Propellant mass [Kg]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175475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SpacecraftDeltaV vs peak power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delta V vs peak power</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c:v>
              </c:pt>
              <c:pt idx="1">
                <c:v>6.0404040404040407</c:v>
              </c:pt>
              <c:pt idx="2">
                <c:v>11.080808080808081</c:v>
              </c:pt>
              <c:pt idx="3">
                <c:v>16.121212121212121</c:v>
              </c:pt>
              <c:pt idx="4">
                <c:v>21.161616161616163</c:v>
              </c:pt>
              <c:pt idx="5">
                <c:v>26.202020202020204</c:v>
              </c:pt>
              <c:pt idx="6">
                <c:v>31.242424242424242</c:v>
              </c:pt>
              <c:pt idx="7">
                <c:v>36.282828282828284</c:v>
              </c:pt>
              <c:pt idx="8">
                <c:v>41.323232323232325</c:v>
              </c:pt>
              <c:pt idx="9">
                <c:v>46.363636363636367</c:v>
              </c:pt>
              <c:pt idx="10">
                <c:v>51.404040404040408</c:v>
              </c:pt>
              <c:pt idx="11">
                <c:v>56.44444444444445</c:v>
              </c:pt>
              <c:pt idx="12">
                <c:v>61.484848484848484</c:v>
              </c:pt>
              <c:pt idx="13">
                <c:v>66.525252525252526</c:v>
              </c:pt>
              <c:pt idx="14">
                <c:v>71.565656565656568</c:v>
              </c:pt>
              <c:pt idx="15">
                <c:v>76.606060606060609</c:v>
              </c:pt>
              <c:pt idx="16">
                <c:v>81.646464646464651</c:v>
              </c:pt>
              <c:pt idx="17">
                <c:v>86.686868686868692</c:v>
              </c:pt>
              <c:pt idx="18">
                <c:v>91.727272727272734</c:v>
              </c:pt>
              <c:pt idx="19">
                <c:v>96.767676767676775</c:v>
              </c:pt>
              <c:pt idx="20">
                <c:v>101.80808080808082</c:v>
              </c:pt>
              <c:pt idx="21">
                <c:v>106.84848484848486</c:v>
              </c:pt>
              <c:pt idx="22">
                <c:v>111.8888888888889</c:v>
              </c:pt>
              <c:pt idx="23">
                <c:v>116.92929292929294</c:v>
              </c:pt>
              <c:pt idx="24">
                <c:v>121.96969696969697</c:v>
              </c:pt>
              <c:pt idx="25">
                <c:v>127.01010101010101</c:v>
              </c:pt>
              <c:pt idx="26">
                <c:v>132.05050505050505</c:v>
              </c:pt>
              <c:pt idx="27">
                <c:v>137.09090909090909</c:v>
              </c:pt>
              <c:pt idx="28">
                <c:v>142.13131313131314</c:v>
              </c:pt>
              <c:pt idx="29">
                <c:v>147.17171717171718</c:v>
              </c:pt>
              <c:pt idx="30">
                <c:v>152.21212121212122</c:v>
              </c:pt>
              <c:pt idx="31">
                <c:v>157.25252525252526</c:v>
              </c:pt>
              <c:pt idx="32">
                <c:v>162.2929292929293</c:v>
              </c:pt>
              <c:pt idx="33">
                <c:v>167.33333333333334</c:v>
              </c:pt>
              <c:pt idx="34">
                <c:v>172.37373737373738</c:v>
              </c:pt>
              <c:pt idx="35">
                <c:v>177.41414141414143</c:v>
              </c:pt>
              <c:pt idx="36">
                <c:v>182.45454545454547</c:v>
              </c:pt>
              <c:pt idx="37">
                <c:v>187.49494949494951</c:v>
              </c:pt>
              <c:pt idx="38">
                <c:v>192.53535353535355</c:v>
              </c:pt>
              <c:pt idx="39">
                <c:v>197.57575757575759</c:v>
              </c:pt>
              <c:pt idx="40">
                <c:v>202.61616161616163</c:v>
              </c:pt>
              <c:pt idx="41">
                <c:v>207.65656565656568</c:v>
              </c:pt>
              <c:pt idx="42">
                <c:v>212.69696969696972</c:v>
              </c:pt>
              <c:pt idx="43">
                <c:v>217.73737373737376</c:v>
              </c:pt>
              <c:pt idx="44">
                <c:v>222.7777777777778</c:v>
              </c:pt>
              <c:pt idx="45">
                <c:v>227.81818181818184</c:v>
              </c:pt>
              <c:pt idx="46">
                <c:v>232.85858585858588</c:v>
              </c:pt>
              <c:pt idx="47">
                <c:v>237.89898989898992</c:v>
              </c:pt>
              <c:pt idx="48">
                <c:v>242.93939393939394</c:v>
              </c:pt>
              <c:pt idx="49">
                <c:v>247.97979797979798</c:v>
              </c:pt>
              <c:pt idx="50">
                <c:v>253.02020202020202</c:v>
              </c:pt>
              <c:pt idx="51">
                <c:v>258.06060606060606</c:v>
              </c:pt>
              <c:pt idx="52">
                <c:v>263.1010101010101</c:v>
              </c:pt>
              <c:pt idx="53">
                <c:v>268.14141414141415</c:v>
              </c:pt>
              <c:pt idx="54">
                <c:v>273.18181818181819</c:v>
              </c:pt>
              <c:pt idx="55">
                <c:v>278.22222222222223</c:v>
              </c:pt>
              <c:pt idx="56">
                <c:v>283.26262626262627</c:v>
              </c:pt>
              <c:pt idx="57">
                <c:v>288.30303030303031</c:v>
              </c:pt>
              <c:pt idx="58">
                <c:v>293.34343434343435</c:v>
              </c:pt>
              <c:pt idx="59">
                <c:v>298.38383838383839</c:v>
              </c:pt>
              <c:pt idx="60">
                <c:v>303.42424242424244</c:v>
              </c:pt>
              <c:pt idx="61">
                <c:v>308.46464646464648</c:v>
              </c:pt>
              <c:pt idx="62">
                <c:v>313.50505050505052</c:v>
              </c:pt>
              <c:pt idx="63">
                <c:v>318.54545454545456</c:v>
              </c:pt>
              <c:pt idx="64">
                <c:v>323.5858585858586</c:v>
              </c:pt>
              <c:pt idx="65">
                <c:v>328.62626262626264</c:v>
              </c:pt>
              <c:pt idx="66">
                <c:v>333.66666666666669</c:v>
              </c:pt>
              <c:pt idx="67">
                <c:v>338.70707070707073</c:v>
              </c:pt>
              <c:pt idx="68">
                <c:v>343.74747474747477</c:v>
              </c:pt>
              <c:pt idx="69">
                <c:v>348.78787878787881</c:v>
              </c:pt>
              <c:pt idx="70">
                <c:v>353.82828282828285</c:v>
              </c:pt>
              <c:pt idx="71">
                <c:v>358.86868686868689</c:v>
              </c:pt>
              <c:pt idx="72">
                <c:v>363.90909090909093</c:v>
              </c:pt>
              <c:pt idx="73">
                <c:v>368.94949494949498</c:v>
              </c:pt>
              <c:pt idx="74">
                <c:v>373.98989898989902</c:v>
              </c:pt>
              <c:pt idx="75">
                <c:v>379.03030303030306</c:v>
              </c:pt>
              <c:pt idx="76">
                <c:v>384.0707070707071</c:v>
              </c:pt>
              <c:pt idx="77">
                <c:v>389.11111111111114</c:v>
              </c:pt>
              <c:pt idx="78">
                <c:v>394.15151515151518</c:v>
              </c:pt>
              <c:pt idx="79">
                <c:v>399.19191919191923</c:v>
              </c:pt>
              <c:pt idx="80">
                <c:v>404.23232323232327</c:v>
              </c:pt>
              <c:pt idx="81">
                <c:v>409.27272727272731</c:v>
              </c:pt>
              <c:pt idx="82">
                <c:v>414.31313131313135</c:v>
              </c:pt>
              <c:pt idx="83">
                <c:v>419.35353535353539</c:v>
              </c:pt>
              <c:pt idx="84">
                <c:v>424.39393939393943</c:v>
              </c:pt>
              <c:pt idx="85">
                <c:v>429.43434343434348</c:v>
              </c:pt>
              <c:pt idx="86">
                <c:v>434.47474747474752</c:v>
              </c:pt>
              <c:pt idx="87">
                <c:v>439.51515151515156</c:v>
              </c:pt>
              <c:pt idx="88">
                <c:v>444.5555555555556</c:v>
              </c:pt>
              <c:pt idx="89">
                <c:v>449.59595959595964</c:v>
              </c:pt>
              <c:pt idx="90">
                <c:v>454.63636363636368</c:v>
              </c:pt>
              <c:pt idx="91">
                <c:v>459.67676767676772</c:v>
              </c:pt>
              <c:pt idx="92">
                <c:v>464.71717171717177</c:v>
              </c:pt>
              <c:pt idx="93">
                <c:v>469.75757575757581</c:v>
              </c:pt>
              <c:pt idx="94">
                <c:v>474.79797979797985</c:v>
              </c:pt>
              <c:pt idx="95">
                <c:v>479.83838383838389</c:v>
              </c:pt>
              <c:pt idx="96">
                <c:v>484.87878787878788</c:v>
              </c:pt>
              <c:pt idx="97">
                <c:v>489.91919191919192</c:v>
              </c:pt>
              <c:pt idx="98">
                <c:v>494.95959595959596</c:v>
              </c:pt>
              <c:pt idx="99">
                <c:v>500</c:v>
              </c:pt>
            </c:numLit>
          </c:xVal>
          <c:yVal>
            <c:numLit>
              <c:formatCode>General</c:formatCode>
              <c:ptCount val="100"/>
              <c:pt idx="0">
                <c:v>4.4767482419466733E-4</c:v>
              </c:pt>
              <c:pt idx="1">
                <c:v>2.704722646883464E-3</c:v>
              </c:pt>
              <c:pt idx="2">
                <c:v>4.9627485275667597E-3</c:v>
              </c:pt>
              <c:pt idx="3">
                <c:v>7.221752969253036E-3</c:v>
              </c:pt>
              <c:pt idx="4">
                <c:v>9.4817364752691358E-3</c:v>
              </c:pt>
              <c:pt idx="5">
                <c:v>1.1742699549266357E-2</c:v>
              </c:pt>
              <c:pt idx="6">
                <c:v>1.400464269521408E-2</c:v>
              </c:pt>
              <c:pt idx="7">
                <c:v>1.6267566417405836E-2</c:v>
              </c:pt>
              <c:pt idx="8">
                <c:v>1.853147122045589E-2</c:v>
              </c:pt>
              <c:pt idx="9">
                <c:v>2.0796357609300931E-2</c:v>
              </c:pt>
              <c:pt idx="10">
                <c:v>2.3062226089199517E-2</c:v>
              </c:pt>
              <c:pt idx="11">
                <c:v>2.5329077165734581E-2</c:v>
              </c:pt>
              <c:pt idx="12">
                <c:v>2.7596911344810644E-2</c:v>
              </c:pt>
              <c:pt idx="13">
                <c:v>2.9865729132655536E-2</c:v>
              </c:pt>
              <c:pt idx="14">
                <c:v>3.2135531035822146E-2</c:v>
              </c:pt>
              <c:pt idx="15">
                <c:v>3.4406317561184119E-2</c:v>
              </c:pt>
              <c:pt idx="16">
                <c:v>3.667808921594131E-2</c:v>
              </c:pt>
              <c:pt idx="17">
                <c:v>3.8950846507617848E-2</c:v>
              </c:pt>
              <c:pt idx="18">
                <c:v>4.1224589944061481E-2</c:v>
              </c:pt>
              <c:pt idx="19">
                <c:v>4.3499320033445435E-2</c:v>
              </c:pt>
              <c:pt idx="20">
                <c:v>4.5775037284267031E-2</c:v>
              </c:pt>
              <c:pt idx="21">
                <c:v>4.8051742205350245E-2</c:v>
              </c:pt>
              <c:pt idx="22">
                <c:v>5.0329435305842884E-2</c:v>
              </c:pt>
              <c:pt idx="23">
                <c:v>5.260811709522055E-2</c:v>
              </c:pt>
              <c:pt idx="24">
                <c:v>5.4887788083283207E-2</c:v>
              </c:pt>
              <c:pt idx="25">
                <c:v>5.7168448780158289E-2</c:v>
              </c:pt>
              <c:pt idx="26">
                <c:v>5.9450099696298747E-2</c:v>
              </c:pt>
              <c:pt idx="27">
                <c:v>6.1732741342485527E-2</c:v>
              </c:pt>
              <c:pt idx="28">
                <c:v>6.401637422982627E-2</c:v>
              </c:pt>
              <c:pt idx="29">
                <c:v>6.6300998869754837E-2</c:v>
              </c:pt>
              <c:pt idx="30">
                <c:v>6.8586615774034451E-2</c:v>
              </c:pt>
              <c:pt idx="31">
                <c:v>7.0873225454755814E-2</c:v>
              </c:pt>
              <c:pt idx="32">
                <c:v>7.316082842433641E-2</c:v>
              </c:pt>
              <c:pt idx="33">
                <c:v>7.5449425195523917E-2</c:v>
              </c:pt>
              <c:pt idx="34">
                <c:v>7.7739016281394013E-2</c:v>
              </c:pt>
              <c:pt idx="35">
                <c:v>8.0029602195350005E-2</c:v>
              </c:pt>
              <c:pt idx="36">
                <c:v>8.2321183451127489E-2</c:v>
              </c:pt>
              <c:pt idx="37">
                <c:v>8.4613760562788576E-2</c:v>
              </c:pt>
              <c:pt idx="38">
                <c:v>8.6907334044725865E-2</c:v>
              </c:pt>
              <c:pt idx="39">
                <c:v>8.9201904411662675E-2</c:v>
              </c:pt>
              <c:pt idx="40">
                <c:v>9.1497472178651881E-2</c:v>
              </c:pt>
              <c:pt idx="41">
                <c:v>9.3794037861077525E-2</c:v>
              </c:pt>
              <c:pt idx="42">
                <c:v>9.6091601974653496E-2</c:v>
              </c:pt>
              <c:pt idx="43">
                <c:v>9.8390165035425456E-2</c:v>
              </c:pt>
              <c:pt idx="44">
                <c:v>0.10068972755976945</c:v>
              </c:pt>
              <c:pt idx="45">
                <c:v>0.10299029006439508</c:v>
              </c:pt>
              <c:pt idx="46">
                <c:v>0.1052918530663414</c:v>
              </c:pt>
              <c:pt idx="47">
                <c:v>0.10759441708298076</c:v>
              </c:pt>
              <c:pt idx="48">
                <c:v>0.10989798263201835</c:v>
              </c:pt>
              <c:pt idx="49">
                <c:v>0.11220255023149019</c:v>
              </c:pt>
              <c:pt idx="50">
                <c:v>0.11450812039976703</c:v>
              </c:pt>
              <c:pt idx="51">
                <c:v>0.11681469365555251</c:v>
              </c:pt>
              <c:pt idx="52">
                <c:v>0.11912227051788246</c:v>
              </c:pt>
              <c:pt idx="53">
                <c:v>0.12143085150612752</c:v>
              </c:pt>
              <c:pt idx="54">
                <c:v>0.12374043713999176</c:v>
              </c:pt>
              <c:pt idx="55">
                <c:v>0.1260510279395137</c:v>
              </c:pt>
              <c:pt idx="56">
                <c:v>0.12836262442506588</c:v>
              </c:pt>
              <c:pt idx="57">
                <c:v>0.13067522711735732</c:v>
              </c:pt>
              <c:pt idx="58">
                <c:v>0.13298883653742985</c:v>
              </c:pt>
              <c:pt idx="59">
                <c:v>0.13530345320666157</c:v>
              </c:pt>
              <c:pt idx="60">
                <c:v>0.1376190776467654</c:v>
              </c:pt>
              <c:pt idx="61">
                <c:v>0.13993571037979172</c:v>
              </c:pt>
              <c:pt idx="62">
                <c:v>0.14225335192812624</c:v>
              </c:pt>
              <c:pt idx="63">
                <c:v>0.14457200281448959</c:v>
              </c:pt>
              <c:pt idx="64">
                <c:v>0.14689166356194117</c:v>
              </c:pt>
              <c:pt idx="65">
                <c:v>0.14921233469387654</c:v>
              </c:pt>
              <c:pt idx="66">
                <c:v>0.15153401673402758</c:v>
              </c:pt>
              <c:pt idx="67">
                <c:v>0.15385671020646494</c:v>
              </c:pt>
              <c:pt idx="68">
                <c:v>0.15618041563559532</c:v>
              </c:pt>
              <c:pt idx="69">
                <c:v>0.15850513354616558</c:v>
              </c:pt>
              <c:pt idx="70">
                <c:v>0.16083086446325826</c:v>
              </c:pt>
              <c:pt idx="71">
                <c:v>0.16315760891229797</c:v>
              </c:pt>
              <c:pt idx="72">
                <c:v>0.16548536741904404</c:v>
              </c:pt>
              <c:pt idx="73">
                <c:v>0.16781414050959675</c:v>
              </c:pt>
              <c:pt idx="74">
                <c:v>0.17014392871039785</c:v>
              </c:pt>
              <c:pt idx="75">
                <c:v>0.1724747325482244</c:v>
              </c:pt>
              <c:pt idx="76">
                <c:v>0.17480655255019664</c:v>
              </c:pt>
              <c:pt idx="77">
                <c:v>0.17713938924377312</c:v>
              </c:pt>
              <c:pt idx="78">
                <c:v>0.17947324315675464</c:v>
              </c:pt>
              <c:pt idx="79">
                <c:v>0.1818081148172806</c:v>
              </c:pt>
              <c:pt idx="80">
                <c:v>0.18414400475383316</c:v>
              </c:pt>
              <c:pt idx="81">
                <c:v>0.18648091349523435</c:v>
              </c:pt>
              <c:pt idx="82">
                <c:v>0.18881884157064879</c:v>
              </c:pt>
              <c:pt idx="83">
                <c:v>0.19115778950958279</c:v>
              </c:pt>
              <c:pt idx="84">
                <c:v>0.19349775784188344</c:v>
              </c:pt>
              <c:pt idx="85">
                <c:v>0.19583874709774188</c:v>
              </c:pt>
              <c:pt idx="86">
                <c:v>0.19818075780769001</c:v>
              </c:pt>
              <c:pt idx="87">
                <c:v>0.20052379050260541</c:v>
              </c:pt>
              <c:pt idx="88">
                <c:v>0.20286784571370606</c:v>
              </c:pt>
              <c:pt idx="89">
                <c:v>0.20521292397255436</c:v>
              </c:pt>
              <c:pt idx="90">
                <c:v>0.20755902581105701</c:v>
              </c:pt>
              <c:pt idx="91">
                <c:v>0.20990615176146385</c:v>
              </c:pt>
              <c:pt idx="92">
                <c:v>0.21225430235637027</c:v>
              </c:pt>
              <c:pt idx="93">
                <c:v>0.21460347812871391</c:v>
              </c:pt>
              <c:pt idx="94">
                <c:v>0.21695367961177991</c:v>
              </c:pt>
              <c:pt idx="95">
                <c:v>0.21930490733919603</c:v>
              </c:pt>
              <c:pt idx="96">
                <c:v>0.22165716184493825</c:v>
              </c:pt>
              <c:pt idx="97">
                <c:v>0.22401044366332476</c:v>
              </c:pt>
              <c:pt idx="98">
                <c:v>0.22636475332902306</c:v>
              </c:pt>
              <c:pt idx="99">
                <c:v>0.22872009137704452</c:v>
              </c:pt>
            </c:numLit>
          </c:yVal>
          <c:smooth val="0"/>
          <c:extLst>
            <c:ext xmlns:c16="http://schemas.microsoft.com/office/drawing/2014/chart" uri="{C3380CC4-5D6E-409C-BE32-E72D297353CC}">
              <c16:uniqueId val="{00000009-3568-41D2-A2D5-C73690AFF083}"/>
            </c:ext>
          </c:extLst>
        </c:ser>
        <c:dLbls>
          <c:showLegendKey val="0"/>
          <c:showVal val="0"/>
          <c:showCatName val="0"/>
          <c:showSerName val="0"/>
          <c:showPercent val="0"/>
          <c:showBubbleSize val="0"/>
        </c:dLbls>
        <c:axId val="717544304"/>
        <c:axId val="717558408"/>
      </c:scatterChart>
      <c:valAx>
        <c:axId val="71754430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DeltaV [m/s]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17558408"/>
        <c:crosses val="autoZero"/>
        <c:crossBetween val="midCat"/>
      </c:valAx>
      <c:valAx>
        <c:axId val="71755840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Peak Power [W]</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1754430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Isp VS propellant mass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MassvsIsc</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150</c:v>
              </c:pt>
              <c:pt idx="1">
                <c:v>188.88888888888889</c:v>
              </c:pt>
              <c:pt idx="2">
                <c:v>227.77777777777777</c:v>
              </c:pt>
              <c:pt idx="3">
                <c:v>266.66666666666663</c:v>
              </c:pt>
              <c:pt idx="4">
                <c:v>305.55555555555554</c:v>
              </c:pt>
              <c:pt idx="5">
                <c:v>344.44444444444446</c:v>
              </c:pt>
              <c:pt idx="6">
                <c:v>383.33333333333331</c:v>
              </c:pt>
              <c:pt idx="7">
                <c:v>422.22222222222217</c:v>
              </c:pt>
              <c:pt idx="8">
                <c:v>461.11111111111109</c:v>
              </c:pt>
              <c:pt idx="9">
                <c:v>500</c:v>
              </c:pt>
              <c:pt idx="10">
                <c:v>538.88888888888891</c:v>
              </c:pt>
              <c:pt idx="11">
                <c:v>577.77777777777771</c:v>
              </c:pt>
              <c:pt idx="12">
                <c:v>616.66666666666663</c:v>
              </c:pt>
              <c:pt idx="13">
                <c:v>655.55555555555554</c:v>
              </c:pt>
              <c:pt idx="14">
                <c:v>694.44444444444434</c:v>
              </c:pt>
              <c:pt idx="15">
                <c:v>733.33333333333326</c:v>
              </c:pt>
              <c:pt idx="16">
                <c:v>772.22222222222217</c:v>
              </c:pt>
              <c:pt idx="17">
                <c:v>811.11111111111109</c:v>
              </c:pt>
              <c:pt idx="18">
                <c:v>850</c:v>
              </c:pt>
              <c:pt idx="19">
                <c:v>888.8888888888888</c:v>
              </c:pt>
              <c:pt idx="20">
                <c:v>927.77777777777771</c:v>
              </c:pt>
              <c:pt idx="21">
                <c:v>966.66666666666663</c:v>
              </c:pt>
              <c:pt idx="22">
                <c:v>1005.5555555555554</c:v>
              </c:pt>
              <c:pt idx="23">
                <c:v>1044.4444444444443</c:v>
              </c:pt>
              <c:pt idx="24">
                <c:v>1083.3333333333333</c:v>
              </c:pt>
              <c:pt idx="25">
                <c:v>1122.2222222222222</c:v>
              </c:pt>
              <c:pt idx="26">
                <c:v>1161.1111111111111</c:v>
              </c:pt>
              <c:pt idx="27">
                <c:v>1200</c:v>
              </c:pt>
              <c:pt idx="28">
                <c:v>1238.8888888888887</c:v>
              </c:pt>
              <c:pt idx="29">
                <c:v>1277.7777777777776</c:v>
              </c:pt>
              <c:pt idx="30">
                <c:v>1316.6666666666665</c:v>
              </c:pt>
              <c:pt idx="31">
                <c:v>1355.5555555555554</c:v>
              </c:pt>
              <c:pt idx="32">
                <c:v>1394.4444444444443</c:v>
              </c:pt>
              <c:pt idx="33">
                <c:v>1433.3333333333333</c:v>
              </c:pt>
              <c:pt idx="34">
                <c:v>1472.2222222222222</c:v>
              </c:pt>
              <c:pt idx="35">
                <c:v>1511.1111111111111</c:v>
              </c:pt>
              <c:pt idx="36">
                <c:v>1550</c:v>
              </c:pt>
              <c:pt idx="37">
                <c:v>1588.8888888888887</c:v>
              </c:pt>
              <c:pt idx="38">
                <c:v>1627.7777777777776</c:v>
              </c:pt>
              <c:pt idx="39">
                <c:v>1666.6666666666665</c:v>
              </c:pt>
              <c:pt idx="40">
                <c:v>1705.5555555555554</c:v>
              </c:pt>
              <c:pt idx="41">
                <c:v>1744.4444444444443</c:v>
              </c:pt>
              <c:pt idx="42">
                <c:v>1783.3333333333333</c:v>
              </c:pt>
              <c:pt idx="43">
                <c:v>1822.2222222222222</c:v>
              </c:pt>
              <c:pt idx="44">
                <c:v>1861.1111111111109</c:v>
              </c:pt>
              <c:pt idx="45">
                <c:v>1899.9999999999998</c:v>
              </c:pt>
              <c:pt idx="46">
                <c:v>1938.8888888888887</c:v>
              </c:pt>
              <c:pt idx="47">
                <c:v>1977.7777777777776</c:v>
              </c:pt>
              <c:pt idx="48">
                <c:v>2016.6666666666665</c:v>
              </c:pt>
              <c:pt idx="49">
                <c:v>2055.5555555555552</c:v>
              </c:pt>
              <c:pt idx="50">
                <c:v>2094.4444444444443</c:v>
              </c:pt>
              <c:pt idx="51">
                <c:v>2133.333333333333</c:v>
              </c:pt>
              <c:pt idx="52">
                <c:v>2172.2222222222222</c:v>
              </c:pt>
              <c:pt idx="53">
                <c:v>2211.1111111111109</c:v>
              </c:pt>
              <c:pt idx="54">
                <c:v>2250</c:v>
              </c:pt>
              <c:pt idx="55">
                <c:v>2288.8888888888887</c:v>
              </c:pt>
              <c:pt idx="56">
                <c:v>2327.7777777777774</c:v>
              </c:pt>
              <c:pt idx="57">
                <c:v>2366.6666666666665</c:v>
              </c:pt>
              <c:pt idx="58">
                <c:v>2405.5555555555552</c:v>
              </c:pt>
              <c:pt idx="59">
                <c:v>2444.4444444444443</c:v>
              </c:pt>
              <c:pt idx="60">
                <c:v>2483.333333333333</c:v>
              </c:pt>
              <c:pt idx="61">
                <c:v>2522.2222222222222</c:v>
              </c:pt>
              <c:pt idx="62">
                <c:v>2561.1111111111109</c:v>
              </c:pt>
              <c:pt idx="63">
                <c:v>2600</c:v>
              </c:pt>
              <c:pt idx="64">
                <c:v>2638.8888888888887</c:v>
              </c:pt>
              <c:pt idx="65">
                <c:v>2677.7777777777774</c:v>
              </c:pt>
              <c:pt idx="66">
                <c:v>2716.6666666666665</c:v>
              </c:pt>
              <c:pt idx="67">
                <c:v>2755.5555555555552</c:v>
              </c:pt>
              <c:pt idx="68">
                <c:v>2794.4444444444443</c:v>
              </c:pt>
              <c:pt idx="69">
                <c:v>2833.333333333333</c:v>
              </c:pt>
              <c:pt idx="70">
                <c:v>2872.2222222222222</c:v>
              </c:pt>
              <c:pt idx="71">
                <c:v>2911.1111111111109</c:v>
              </c:pt>
              <c:pt idx="72">
                <c:v>2950</c:v>
              </c:pt>
              <c:pt idx="73">
                <c:v>2988.8888888888887</c:v>
              </c:pt>
              <c:pt idx="74">
                <c:v>3027.7777777777774</c:v>
              </c:pt>
              <c:pt idx="75">
                <c:v>3066.6666666666665</c:v>
              </c:pt>
              <c:pt idx="76">
                <c:v>3105.5555555555552</c:v>
              </c:pt>
              <c:pt idx="77">
                <c:v>3144.4444444444443</c:v>
              </c:pt>
              <c:pt idx="78">
                <c:v>3183.333333333333</c:v>
              </c:pt>
              <c:pt idx="79">
                <c:v>3222.2222222222222</c:v>
              </c:pt>
              <c:pt idx="80">
                <c:v>3261.1111111111109</c:v>
              </c:pt>
              <c:pt idx="81">
                <c:v>3299.9999999999995</c:v>
              </c:pt>
              <c:pt idx="82">
                <c:v>3338.8888888888887</c:v>
              </c:pt>
              <c:pt idx="83">
                <c:v>3377.7777777777774</c:v>
              </c:pt>
              <c:pt idx="84">
                <c:v>3416.6666666666665</c:v>
              </c:pt>
              <c:pt idx="85">
                <c:v>3455.5555555555552</c:v>
              </c:pt>
              <c:pt idx="86">
                <c:v>3494.4444444444443</c:v>
              </c:pt>
              <c:pt idx="87">
                <c:v>3533.333333333333</c:v>
              </c:pt>
              <c:pt idx="88">
                <c:v>3572.2222222222217</c:v>
              </c:pt>
              <c:pt idx="89">
                <c:v>3611.1111111111109</c:v>
              </c:pt>
              <c:pt idx="90">
                <c:v>3649.9999999999995</c:v>
              </c:pt>
              <c:pt idx="91">
                <c:v>3688.8888888888887</c:v>
              </c:pt>
              <c:pt idx="92">
                <c:v>3727.7777777777774</c:v>
              </c:pt>
              <c:pt idx="93">
                <c:v>3766.6666666666665</c:v>
              </c:pt>
              <c:pt idx="94">
                <c:v>3805.5555555555552</c:v>
              </c:pt>
              <c:pt idx="95">
                <c:v>3844.4444444444443</c:v>
              </c:pt>
              <c:pt idx="96">
                <c:v>3883.333333333333</c:v>
              </c:pt>
              <c:pt idx="97">
                <c:v>3922.2222222222217</c:v>
              </c:pt>
              <c:pt idx="98">
                <c:v>3961.1111111111109</c:v>
              </c:pt>
              <c:pt idx="99">
                <c:v>3999.9999999999995</c:v>
              </c:pt>
            </c:numLit>
          </c:xVal>
          <c:yVal>
            <c:numLit>
              <c:formatCode>General</c:formatCode>
              <c:ptCount val="100"/>
              <c:pt idx="0">
                <c:v>1.2645985510429691</c:v>
              </c:pt>
              <c:pt idx="1">
                <c:v>0.91416675486621246</c:v>
              </c:pt>
              <c:pt idx="2">
                <c:v>0.71356333398845107</c:v>
              </c:pt>
              <c:pt idx="3">
                <c:v>0.58432509902953589</c:v>
              </c:pt>
              <c:pt idx="4">
                <c:v>0.49436779791826591</c:v>
              </c:pt>
              <c:pt idx="5">
                <c:v>0.42824719616724599</c:v>
              </c:pt>
              <c:pt idx="6">
                <c:v>0.37764452217844968</c:v>
              </c:pt>
              <c:pt idx="7">
                <c:v>0.33769444100751023</c:v>
              </c:pt>
              <c:pt idx="8">
                <c:v>0.30536643038559597</c:v>
              </c:pt>
              <c:pt idx="9">
                <c:v>0.27867655260130503</c:v>
              </c:pt>
              <c:pt idx="10">
                <c:v>0.25627260788373846</c:v>
              </c:pt>
              <c:pt idx="11">
                <c:v>0.23720175338319124</c:v>
              </c:pt>
              <c:pt idx="12">
                <c:v>0.22077349308131688</c:v>
              </c:pt>
              <c:pt idx="13">
                <c:v>0.20647536235817401</c:v>
              </c:pt>
              <c:pt idx="14">
                <c:v>0.19391911847275828</c:v>
              </c:pt>
              <c:pt idx="15">
                <c:v>0.18280530841908613</c:v>
              </c:pt>
              <c:pt idx="16">
                <c:v>0.1728992945661279</c:v>
              </c:pt>
              <c:pt idx="17">
                <c:v>0.16401464116899706</c:v>
              </c:pt>
              <c:pt idx="18">
                <c:v>0.15600135610173005</c:v>
              </c:pt>
              <c:pt idx="19">
                <c:v>0.14873741087235295</c:v>
              </c:pt>
              <c:pt idx="20">
                <c:v>0.14212252088540031</c:v>
              </c:pt>
              <c:pt idx="21">
                <c:v>0.13607351358821768</c:v>
              </c:pt>
              <c:pt idx="22">
                <c:v>0.13052083123293598</c:v>
              </c:pt>
              <c:pt idx="23">
                <c:v>0.12540585695944434</c:v>
              </c:pt>
              <c:pt idx="24">
                <c:v>0.12067884676649931</c:v>
              </c:pt>
              <c:pt idx="25">
                <c:v>0.1162973131363282</c:v>
              </c:pt>
              <c:pt idx="26">
                <c:v>0.11222474934741221</c:v>
              </c:pt>
              <c:pt idx="27">
                <c:v>0.10842961359325437</c:v>
              </c:pt>
              <c:pt idx="28">
                <c:v>0.10488451323841555</c:v>
              </c:pt>
              <c:pt idx="29">
                <c:v>0.10156554469907005</c:v>
              </c:pt>
              <c:pt idx="30">
                <c:v>9.8451755395765492E-2</c:v>
              </c:pt>
              <c:pt idx="31">
                <c:v>9.5524702242362439E-2</c:v>
              </c:pt>
              <c:pt idx="32">
                <c:v>9.2768087060183066E-2</c:v>
              </c:pt>
              <c:pt idx="33">
                <c:v>9.0167453729058336E-2</c:v>
              </c:pt>
              <c:pt idx="34">
                <c:v>8.7709935218753657E-2</c:v>
              </c:pt>
              <c:pt idx="35">
                <c:v>8.5384041176063782E-2</c:v>
              </c:pt>
              <c:pt idx="36">
                <c:v>8.3179478682493993E-2</c:v>
              </c:pt>
              <c:pt idx="37">
                <c:v>8.1087000294836648E-2</c:v>
              </c:pt>
              <c:pt idx="38">
                <c:v>7.9098274645344788E-2</c:v>
              </c:pt>
              <c:pt idx="39">
                <c:v>7.7205775789862582E-2</c:v>
              </c:pt>
              <c:pt idx="40">
                <c:v>7.5402688210701341E-2</c:v>
              </c:pt>
              <c:pt idx="41">
                <c:v>7.3682824950690229E-2</c:v>
              </c:pt>
              <c:pt idx="42">
                <c:v>7.1781608649769457E-2</c:v>
              </c:pt>
              <c:pt idx="43">
                <c:v>7.0212060193122816E-2</c:v>
              </c:pt>
              <c:pt idx="44">
                <c:v>6.871026749356135E-2</c:v>
              </c:pt>
              <c:pt idx="45">
                <c:v>6.7271937586404179E-2</c:v>
              </c:pt>
              <c:pt idx="46">
                <c:v>6.589313256552938E-2</c:v>
              </c:pt>
              <c:pt idx="47">
                <c:v>6.4570233629770227E-2</c:v>
              </c:pt>
              <c:pt idx="48">
                <c:v>6.3299909410305069E-2</c:v>
              </c:pt>
              <c:pt idx="49">
                <c:v>6.2079087996061266E-2</c:v>
              </c:pt>
              <c:pt idx="50">
                <c:v>6.0904932163135556E-2</c:v>
              </c:pt>
              <c:pt idx="51">
                <c:v>5.9774817388216703E-2</c:v>
              </c:pt>
              <c:pt idx="52">
                <c:v>5.8686312287758065E-2</c:v>
              </c:pt>
              <c:pt idx="53">
                <c:v>5.7637161176365859E-2</c:v>
              </c:pt>
              <c:pt idx="54">
                <c:v>5.6625268481349626E-2</c:v>
              </c:pt>
              <c:pt idx="55">
                <c:v>5.5648684787038667E-2</c:v>
              </c:pt>
              <c:pt idx="56">
                <c:v>5.47055943134791E-2</c:v>
              </c:pt>
              <c:pt idx="57">
                <c:v>5.379430366044393E-2</c:v>
              </c:pt>
              <c:pt idx="58">
                <c:v>5.2913231670078407E-2</c:v>
              </c:pt>
              <c:pt idx="59">
                <c:v>5.2060900280617405E-2</c:v>
              </c:pt>
              <c:pt idx="60">
                <c:v>5.1235926259966771E-2</c:v>
              </c:pt>
              <c:pt idx="61">
                <c:v>5.0437013721972915E-2</c:v>
              </c:pt>
              <c:pt idx="62">
                <c:v>4.96629473402816E-2</c:v>
              </c:pt>
              <c:pt idx="63">
                <c:v>4.8912586185092997E-2</c:v>
              </c:pt>
              <c:pt idx="64">
                <c:v>4.8184858117126805E-2</c:v>
              </c:pt>
              <c:pt idx="65">
                <c:v>4.7478754680902839E-2</c:v>
              </c:pt>
              <c:pt idx="66">
                <c:v>4.6793326446221674E-2</c:v>
              </c:pt>
              <c:pt idx="67">
                <c:v>4.61276787526178E-2</c:v>
              </c:pt>
              <c:pt idx="68">
                <c:v>4.5480967816702765E-2</c:v>
              </c:pt>
              <c:pt idx="69">
                <c:v>4.4852397166805419E-2</c:v>
              </c:pt>
              <c:pt idx="70">
                <c:v>4.4241214373251604E-2</c:v>
              </c:pt>
              <c:pt idx="71">
                <c:v>4.3646708046076302E-2</c:v>
              </c:pt>
              <c:pt idx="72">
                <c:v>4.306820507499616E-2</c:v>
              </c:pt>
              <c:pt idx="73">
                <c:v>4.2505068089140584E-2</c:v>
              </c:pt>
              <c:pt idx="74">
                <c:v>4.1956693116398158E-2</c:v>
              </c:pt>
              <c:pt idx="75">
                <c:v>4.1422507424315608E-2</c:v>
              </c:pt>
              <c:pt idx="76">
                <c:v>4.0901967526333932E-2</c:v>
              </c:pt>
              <c:pt idx="77">
                <c:v>4.0394557338775228E-2</c:v>
              </c:pt>
              <c:pt idx="78">
                <c:v>3.9899786475452288E-2</c:v>
              </c:pt>
              <c:pt idx="79">
                <c:v>3.9417188668057386E-2</c:v>
              </c:pt>
              <c:pt idx="80">
                <c:v>3.8946320301642218E-2</c:v>
              </c:pt>
              <c:pt idx="81">
                <c:v>3.8486759055522117E-2</c:v>
              </c:pt>
              <c:pt idx="82">
                <c:v>3.8038102640858086E-2</c:v>
              </c:pt>
              <c:pt idx="83">
                <c:v>3.759996762698798E-2</c:v>
              </c:pt>
              <c:pt idx="84">
                <c:v>3.7171988349311548E-2</c:v>
              </c:pt>
              <c:pt idx="85">
                <c:v>3.6753815892195903E-2</c:v>
              </c:pt>
              <c:pt idx="86">
                <c:v>3.6345117140956923E-2</c:v>
              </c:pt>
              <c:pt idx="87">
                <c:v>3.5945573897505315E-2</c:v>
              </c:pt>
              <c:pt idx="88">
                <c:v>3.5554882054724811E-2</c:v>
              </c:pt>
              <c:pt idx="89">
                <c:v>3.5172750825082422E-2</c:v>
              </c:pt>
              <c:pt idx="90">
                <c:v>3.4798902019359541E-2</c:v>
              </c:pt>
              <c:pt idx="91">
                <c:v>3.4433069371746824E-2</c:v>
              </c:pt>
              <c:pt idx="92">
                <c:v>3.4074997907860782E-2</c:v>
              </c:pt>
              <c:pt idx="93">
                <c:v>3.3724443352533065E-2</c:v>
              </c:pt>
              <c:pt idx="94">
                <c:v>3.3381171574482539E-2</c:v>
              </c:pt>
              <c:pt idx="95">
                <c:v>3.3044958065216554E-2</c:v>
              </c:pt>
              <c:pt idx="96">
                <c:v>3.2715587449726503E-2</c:v>
              </c:pt>
              <c:pt idx="97">
                <c:v>3.2392853026737813E-2</c:v>
              </c:pt>
              <c:pt idx="98">
                <c:v>3.2076556336451019E-2</c:v>
              </c:pt>
              <c:pt idx="99">
                <c:v>3.176650675387608E-2</c:v>
              </c:pt>
            </c:numLit>
          </c:yVal>
          <c:smooth val="0"/>
          <c:extLst>
            <c:ext xmlns:c16="http://schemas.microsoft.com/office/drawing/2014/chart" uri="{C3380CC4-5D6E-409C-BE32-E72D297353CC}">
              <c16:uniqueId val="{00000002-C3D9-44FA-9653-C95A77B69171}"/>
            </c:ext>
          </c:extLst>
        </c:ser>
        <c:dLbls>
          <c:showLegendKey val="0"/>
          <c:showVal val="0"/>
          <c:showCatName val="0"/>
          <c:showSerName val="0"/>
          <c:showPercent val="0"/>
          <c:showBubbleSize val="0"/>
        </c:dLbls>
        <c:axId val="626230368"/>
        <c:axId val="626232336"/>
      </c:scatterChart>
      <c:valAx>
        <c:axId val="626230368"/>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Isc[s]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26232336"/>
        <c:crosses val="autoZero"/>
        <c:crossBetween val="midCat"/>
      </c:valAx>
      <c:valAx>
        <c:axId val="62623233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Propellant Mass [Kg]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2623036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Isp vs thrust level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TankvsSpacecraftMass</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150</c:v>
              </c:pt>
              <c:pt idx="1">
                <c:v>188.88888888888889</c:v>
              </c:pt>
              <c:pt idx="2">
                <c:v>227.77777777777777</c:v>
              </c:pt>
              <c:pt idx="3">
                <c:v>266.66666666666663</c:v>
              </c:pt>
              <c:pt idx="4">
                <c:v>305.55555555555554</c:v>
              </c:pt>
              <c:pt idx="5">
                <c:v>344.44444444444446</c:v>
              </c:pt>
              <c:pt idx="6">
                <c:v>383.33333333333331</c:v>
              </c:pt>
              <c:pt idx="7">
                <c:v>422.22222222222217</c:v>
              </c:pt>
              <c:pt idx="8">
                <c:v>461.11111111111109</c:v>
              </c:pt>
              <c:pt idx="9">
                <c:v>500</c:v>
              </c:pt>
              <c:pt idx="10">
                <c:v>538.88888888888891</c:v>
              </c:pt>
              <c:pt idx="11">
                <c:v>577.77777777777771</c:v>
              </c:pt>
              <c:pt idx="12">
                <c:v>616.66666666666663</c:v>
              </c:pt>
              <c:pt idx="13">
                <c:v>655.55555555555554</c:v>
              </c:pt>
              <c:pt idx="14">
                <c:v>694.44444444444434</c:v>
              </c:pt>
              <c:pt idx="15">
                <c:v>733.33333333333326</c:v>
              </c:pt>
              <c:pt idx="16">
                <c:v>772.22222222222217</c:v>
              </c:pt>
              <c:pt idx="17">
                <c:v>811.11111111111109</c:v>
              </c:pt>
              <c:pt idx="18">
                <c:v>850</c:v>
              </c:pt>
              <c:pt idx="19">
                <c:v>888.8888888888888</c:v>
              </c:pt>
              <c:pt idx="20">
                <c:v>927.77777777777771</c:v>
              </c:pt>
              <c:pt idx="21">
                <c:v>966.66666666666663</c:v>
              </c:pt>
              <c:pt idx="22">
                <c:v>1005.5555555555554</c:v>
              </c:pt>
              <c:pt idx="23">
                <c:v>1044.4444444444443</c:v>
              </c:pt>
              <c:pt idx="24">
                <c:v>1083.3333333333333</c:v>
              </c:pt>
              <c:pt idx="25">
                <c:v>1122.2222222222222</c:v>
              </c:pt>
              <c:pt idx="26">
                <c:v>1161.1111111111111</c:v>
              </c:pt>
              <c:pt idx="27">
                <c:v>1200</c:v>
              </c:pt>
              <c:pt idx="28">
                <c:v>1238.8888888888887</c:v>
              </c:pt>
              <c:pt idx="29">
                <c:v>1277.7777777777776</c:v>
              </c:pt>
              <c:pt idx="30">
                <c:v>1316.6666666666665</c:v>
              </c:pt>
              <c:pt idx="31">
                <c:v>1355.5555555555554</c:v>
              </c:pt>
              <c:pt idx="32">
                <c:v>1394.4444444444443</c:v>
              </c:pt>
              <c:pt idx="33">
                <c:v>1433.3333333333333</c:v>
              </c:pt>
              <c:pt idx="34">
                <c:v>1472.2222222222222</c:v>
              </c:pt>
              <c:pt idx="35">
                <c:v>1511.1111111111111</c:v>
              </c:pt>
              <c:pt idx="36">
                <c:v>1550</c:v>
              </c:pt>
              <c:pt idx="37">
                <c:v>1588.8888888888887</c:v>
              </c:pt>
              <c:pt idx="38">
                <c:v>1627.7777777777776</c:v>
              </c:pt>
              <c:pt idx="39">
                <c:v>1666.6666666666665</c:v>
              </c:pt>
              <c:pt idx="40">
                <c:v>1705.5555555555554</c:v>
              </c:pt>
              <c:pt idx="41">
                <c:v>1744.4444444444443</c:v>
              </c:pt>
              <c:pt idx="42">
                <c:v>1783.3333333333333</c:v>
              </c:pt>
              <c:pt idx="43">
                <c:v>1822.2222222222222</c:v>
              </c:pt>
              <c:pt idx="44">
                <c:v>1861.1111111111109</c:v>
              </c:pt>
              <c:pt idx="45">
                <c:v>1899.9999999999998</c:v>
              </c:pt>
              <c:pt idx="46">
                <c:v>1938.8888888888887</c:v>
              </c:pt>
              <c:pt idx="47">
                <c:v>1977.7777777777776</c:v>
              </c:pt>
              <c:pt idx="48">
                <c:v>2016.6666666666665</c:v>
              </c:pt>
              <c:pt idx="49">
                <c:v>2055.5555555555552</c:v>
              </c:pt>
              <c:pt idx="50">
                <c:v>2094.4444444444443</c:v>
              </c:pt>
              <c:pt idx="51">
                <c:v>2133.333333333333</c:v>
              </c:pt>
              <c:pt idx="52">
                <c:v>2172.2222222222222</c:v>
              </c:pt>
              <c:pt idx="53">
                <c:v>2211.1111111111109</c:v>
              </c:pt>
              <c:pt idx="54">
                <c:v>2250</c:v>
              </c:pt>
              <c:pt idx="55">
                <c:v>2288.8888888888887</c:v>
              </c:pt>
              <c:pt idx="56">
                <c:v>2327.7777777777774</c:v>
              </c:pt>
              <c:pt idx="57">
                <c:v>2366.6666666666665</c:v>
              </c:pt>
              <c:pt idx="58">
                <c:v>2405.5555555555552</c:v>
              </c:pt>
              <c:pt idx="59">
                <c:v>2444.4444444444443</c:v>
              </c:pt>
              <c:pt idx="60">
                <c:v>2483.333333333333</c:v>
              </c:pt>
              <c:pt idx="61">
                <c:v>2522.2222222222222</c:v>
              </c:pt>
              <c:pt idx="62">
                <c:v>2561.1111111111109</c:v>
              </c:pt>
              <c:pt idx="63">
                <c:v>2600</c:v>
              </c:pt>
              <c:pt idx="64">
                <c:v>2638.8888888888887</c:v>
              </c:pt>
              <c:pt idx="65">
                <c:v>2677.7777777777774</c:v>
              </c:pt>
              <c:pt idx="66">
                <c:v>2716.6666666666665</c:v>
              </c:pt>
              <c:pt idx="67">
                <c:v>2755.5555555555552</c:v>
              </c:pt>
              <c:pt idx="68">
                <c:v>2794.4444444444443</c:v>
              </c:pt>
              <c:pt idx="69">
                <c:v>2833.333333333333</c:v>
              </c:pt>
              <c:pt idx="70">
                <c:v>2872.2222222222222</c:v>
              </c:pt>
              <c:pt idx="71">
                <c:v>2911.1111111111109</c:v>
              </c:pt>
              <c:pt idx="72">
                <c:v>2950</c:v>
              </c:pt>
              <c:pt idx="73">
                <c:v>2988.8888888888887</c:v>
              </c:pt>
              <c:pt idx="74">
                <c:v>3027.7777777777774</c:v>
              </c:pt>
              <c:pt idx="75">
                <c:v>3066.6666666666665</c:v>
              </c:pt>
              <c:pt idx="76">
                <c:v>3105.5555555555552</c:v>
              </c:pt>
              <c:pt idx="77">
                <c:v>3144.4444444444443</c:v>
              </c:pt>
              <c:pt idx="78">
                <c:v>3183.333333333333</c:v>
              </c:pt>
              <c:pt idx="79">
                <c:v>3222.2222222222222</c:v>
              </c:pt>
              <c:pt idx="80">
                <c:v>3261.1111111111109</c:v>
              </c:pt>
              <c:pt idx="81">
                <c:v>3299.9999999999995</c:v>
              </c:pt>
              <c:pt idx="82">
                <c:v>3338.8888888888887</c:v>
              </c:pt>
              <c:pt idx="83">
                <c:v>3377.7777777777774</c:v>
              </c:pt>
              <c:pt idx="84">
                <c:v>3416.6666666666665</c:v>
              </c:pt>
              <c:pt idx="85">
                <c:v>3455.5555555555552</c:v>
              </c:pt>
              <c:pt idx="86">
                <c:v>3494.4444444444443</c:v>
              </c:pt>
              <c:pt idx="87">
                <c:v>3533.333333333333</c:v>
              </c:pt>
              <c:pt idx="88">
                <c:v>3572.2222222222217</c:v>
              </c:pt>
              <c:pt idx="89">
                <c:v>3611.1111111111109</c:v>
              </c:pt>
              <c:pt idx="90">
                <c:v>3649.9999999999995</c:v>
              </c:pt>
              <c:pt idx="91">
                <c:v>3688.8888888888887</c:v>
              </c:pt>
              <c:pt idx="92">
                <c:v>3727.7777777777774</c:v>
              </c:pt>
              <c:pt idx="93">
                <c:v>3766.6666666666665</c:v>
              </c:pt>
              <c:pt idx="94">
                <c:v>3805.5555555555552</c:v>
              </c:pt>
              <c:pt idx="95">
                <c:v>3844.4444444444443</c:v>
              </c:pt>
              <c:pt idx="96">
                <c:v>3883.333333333333</c:v>
              </c:pt>
              <c:pt idx="97">
                <c:v>3922.2222222222217</c:v>
              </c:pt>
              <c:pt idx="98">
                <c:v>3961.1111111111109</c:v>
              </c:pt>
              <c:pt idx="99">
                <c:v>3999.9999999999995</c:v>
              </c:pt>
            </c:numLit>
          </c:xVal>
          <c:yVal>
            <c:numLit>
              <c:formatCode>General</c:formatCode>
              <c:ptCount val="100"/>
              <c:pt idx="0">
                <c:v>5.3779937585441083E-5</c:v>
              </c:pt>
              <c:pt idx="1">
                <c:v>4.8956255232749341E-5</c:v>
              </c:pt>
              <c:pt idx="2">
                <c:v>4.6080823593409237E-5</c:v>
              </c:pt>
              <c:pt idx="3">
                <c:v>4.4177346704828564E-5</c:v>
              </c:pt>
              <c:pt idx="4">
                <c:v>4.2826907289194152E-5</c:v>
              </c:pt>
              <c:pt idx="5">
                <c:v>4.1820581531299585E-5</c:v>
              </c:pt>
              <c:pt idx="6">
                <c:v>4.1042719556800629E-5</c:v>
              </c:pt>
              <c:pt idx="7">
                <c:v>4.0424192526232652E-5</c:v>
              </c:pt>
              <c:pt idx="8">
                <c:v>3.9921167572709438E-5</c:v>
              </c:pt>
              <c:pt idx="9">
                <c:v>3.9504519947096974E-5</c:v>
              </c:pt>
              <c:pt idx="10">
                <c:v>3.915414749492789E-5</c:v>
              </c:pt>
              <c:pt idx="11">
                <c:v>3.8855731025668425E-5</c:v>
              </c:pt>
              <c:pt idx="12">
                <c:v>3.8598795970090958E-5</c:v>
              </c:pt>
              <c:pt idx="13">
                <c:v>3.8375504161341924E-5</c:v>
              </c:pt>
              <c:pt idx="14">
                <c:v>3.8179874024812501E-5</c:v>
              </c:pt>
              <c:pt idx="15">
                <c:v>3.800726193868048E-5</c:v>
              </c:pt>
              <c:pt idx="16">
                <c:v>3.7854008162286778E-5</c:v>
              </c:pt>
              <c:pt idx="17">
                <c:v>3.7717189498663145E-5</c:v>
              </c:pt>
              <c:pt idx="18">
                <c:v>3.7594442965605968E-5</c:v>
              </c:pt>
              <c:pt idx="19">
                <c:v>3.74838377871011E-5</c:v>
              </c:pt>
              <c:pt idx="20">
                <c:v>3.7383780937130952E-5</c:v>
              </c:pt>
              <c:pt idx="21">
                <c:v>3.7292946408670367E-5</c:v>
              </c:pt>
              <c:pt idx="22">
                <c:v>3.7210221537037844E-5</c:v>
              </c:pt>
              <c:pt idx="23">
                <c:v>3.7134665766966216E-5</c:v>
              </c:pt>
              <c:pt idx="24">
                <c:v>3.7065478623949588E-5</c:v>
              </c:pt>
              <c:pt idx="25">
                <c:v>3.7001974579407946E-5</c:v>
              </c:pt>
              <c:pt idx="26">
                <c:v>3.6943563138931057E-5</c:v>
              </c:pt>
              <c:pt idx="27">
                <c:v>3.6889732930023414E-5</c:v>
              </c:pt>
              <c:pt idx="28">
                <c:v>3.6840038882683531E-5</c:v>
              </c:pt>
              <c:pt idx="29">
                <c:v>3.6794091823631795E-5</c:v>
              </c:pt>
              <c:pt idx="30">
                <c:v>3.6751549970240872E-5</c:v>
              </c:pt>
              <c:pt idx="31">
                <c:v>3.6712111931575903E-5</c:v>
              </c:pt>
              <c:pt idx="32">
                <c:v>3.6675510914001004E-5</c:v>
              </c:pt>
              <c:pt idx="33">
                <c:v>3.6641509896272351E-5</c:v>
              </c:pt>
              <c:pt idx="34">
                <c:v>3.6609897590038057E-5</c:v>
              </c:pt>
              <c:pt idx="35">
                <c:v>3.6580485040550041E-5</c:v>
              </c:pt>
              <c:pt idx="36">
                <c:v>3.655310275227512E-5</c:v>
              </c:pt>
              <c:pt idx="37">
                <c:v>3.6527598247230202E-5</c:v>
              </c:pt>
              <c:pt idx="38">
                <c:v>3.6503833981910928E-5</c:v>
              </c:pt>
              <c:pt idx="39">
                <c:v>3.6481685562847267E-5</c:v>
              </c:pt>
              <c:pt idx="40">
                <c:v>3.6461040212012426E-5</c:v>
              </c:pt>
              <c:pt idx="41">
                <c:v>3.6441795442205531E-5</c:v>
              </c:pt>
              <c:pt idx="42">
                <c:v>3.6292933172508841E-5</c:v>
              </c:pt>
              <c:pt idx="43">
                <c:v>3.6273495632739314E-5</c:v>
              </c:pt>
              <c:pt idx="44">
                <c:v>3.6255199242032294E-5</c:v>
              </c:pt>
              <c:pt idx="45">
                <c:v>3.6237972612799502E-5</c:v>
              </c:pt>
              <c:pt idx="46">
                <c:v>3.6221750204837255E-5</c:v>
              </c:pt>
              <c:pt idx="47">
                <c:v>3.6206471738712382E-5</c:v>
              </c:pt>
              <c:pt idx="48">
                <c:v>3.619208167837215E-5</c:v>
              </c:pt>
              <c:pt idx="49">
                <c:v>3.6178528773631866E-5</c:v>
              </c:pt>
              <c:pt idx="50">
                <c:v>3.6165765654610639E-5</c:v>
              </c:pt>
              <c:pt idx="51">
                <c:v>3.6153748471360253E-5</c:v>
              </c:pt>
              <c:pt idx="52">
                <c:v>3.61424365729216E-5</c:v>
              </c:pt>
              <c:pt idx="53">
                <c:v>3.6131792220864434E-5</c:v>
              </c:pt>
              <c:pt idx="54">
                <c:v>3.6121780333065778E-5</c:v>
              </c:pt>
              <c:pt idx="55">
                <c:v>3.6112368254067223E-5</c:v>
              </c:pt>
              <c:pt idx="56">
                <c:v>3.6103525548848828E-5</c:v>
              </c:pt>
              <c:pt idx="57">
                <c:v>3.6095223817281561E-5</c:v>
              </c:pt>
              <c:pt idx="58">
                <c:v>3.6087436526878306E-5</c:v>
              </c:pt>
              <c:pt idx="59">
                <c:v>3.6080138861772802E-5</c:v>
              </c:pt>
              <c:pt idx="60">
                <c:v>3.6073307586118724E-5</c:v>
              </c:pt>
              <c:pt idx="61">
                <c:v>3.6066920920327332E-5</c:v>
              </c:pt>
              <c:pt idx="62">
                <c:v>3.6060958428758887E-5</c:v>
              </c:pt>
              <c:pt idx="63">
                <c:v>3.6055400917648268E-5</c:v>
              </c:pt>
              <c:pt idx="64">
                <c:v>3.6050230342195271E-5</c:v>
              </c:pt>
              <c:pt idx="65">
                <c:v>3.6045429721871298E-5</c:v>
              </c:pt>
              <c:pt idx="66">
                <c:v>3.6040983063109683E-5</c:v>
              </c:pt>
              <c:pt idx="67">
                <c:v>3.6036875288637182E-5</c:v>
              </c:pt>
              <c:pt idx="68">
                <c:v>3.6033092172792109E-5</c:v>
              </c:pt>
              <c:pt idx="69">
                <c:v>3.6029620282244733E-5</c:v>
              </c:pt>
              <c:pt idx="70">
                <c:v>3.6026446921601341E-5</c:v>
              </c:pt>
              <c:pt idx="71">
                <c:v>3.6023560083428357E-5</c:v>
              </c:pt>
              <c:pt idx="72">
                <c:v>3.6020948402284059E-5</c:v>
              </c:pt>
              <c:pt idx="73">
                <c:v>3.60186011123867E-5</c:v>
              </c:pt>
              <c:pt idx="74">
                <c:v>3.6016508008589143E-5</c:v>
              </c:pt>
              <c:pt idx="75">
                <c:v>3.601465941036109E-5</c:v>
              </c:pt>
              <c:pt idx="76">
                <c:v>3.6013046128513812E-5</c:v>
              </c:pt>
              <c:pt idx="77">
                <c:v>3.6011659434424443E-5</c:v>
              </c:pt>
              <c:pt idx="78">
                <c:v>3.6010491031545959E-5</c:v>
              </c:pt>
              <c:pt idx="79">
                <c:v>3.6009533029005185E-5</c:v>
              </c:pt>
              <c:pt idx="80">
                <c:v>3.6008777917114099E-5</c:v>
              </c:pt>
              <c:pt idx="81">
                <c:v>3.6008218544633065E-5</c:v>
              </c:pt>
              <c:pt idx="82">
                <c:v>3.6007848097642627E-5</c:v>
              </c:pt>
              <c:pt idx="83">
                <c:v>3.6007660079892739E-5</c:v>
              </c:pt>
              <c:pt idx="84">
                <c:v>3.6007648294508892E-5</c:v>
              </c:pt>
              <c:pt idx="85">
                <c:v>3.6007806826948767E-5</c:v>
              </c:pt>
              <c:pt idx="86">
                <c:v>3.6008130029109792E-5</c:v>
              </c:pt>
              <c:pt idx="87">
                <c:v>3.6008612504498372E-5</c:v>
              </c:pt>
              <c:pt idx="88">
                <c:v>3.6009249094378615E-5</c:v>
              </c:pt>
              <c:pt idx="89">
                <c:v>3.6010034864826198E-5</c:v>
              </c:pt>
              <c:pt idx="90">
                <c:v>3.6010965094618793E-5</c:v>
              </c:pt>
              <c:pt idx="91">
                <c:v>3.6012035263901716E-5</c:v>
              </c:pt>
              <c:pt idx="92">
                <c:v>3.6013241043569465E-5</c:v>
              </c:pt>
              <c:pt idx="93">
                <c:v>3.6014578285312822E-5</c:v>
              </c:pt>
              <c:pt idx="94">
                <c:v>3.6016043012283109E-5</c:v>
              </c:pt>
              <c:pt idx="95">
                <c:v>3.6017631410328113E-5</c:v>
              </c:pt>
              <c:pt idx="96">
                <c:v>3.601933981976023E-5</c:v>
              </c:pt>
              <c:pt idx="97">
                <c:v>3.6021164727620466E-5</c:v>
              </c:pt>
              <c:pt idx="98">
                <c:v>3.6023102760401578E-5</c:v>
              </c:pt>
              <c:pt idx="99">
                <c:v>3.6025150677200143E-5</c:v>
              </c:pt>
            </c:numLit>
          </c:yVal>
          <c:smooth val="0"/>
          <c:extLst>
            <c:ext xmlns:c16="http://schemas.microsoft.com/office/drawing/2014/chart" uri="{C3380CC4-5D6E-409C-BE32-E72D297353CC}">
              <c16:uniqueId val="{00000002-9232-4450-9E65-E38FFADB6B77}"/>
            </c:ext>
          </c:extLst>
        </c:ser>
        <c:dLbls>
          <c:showLegendKey val="0"/>
          <c:showVal val="0"/>
          <c:showCatName val="0"/>
          <c:showSerName val="0"/>
          <c:showPercent val="0"/>
          <c:showBubbleSize val="0"/>
        </c:dLbls>
        <c:axId val="626237256"/>
        <c:axId val="626237584"/>
      </c:scatterChart>
      <c:valAx>
        <c:axId val="626237256"/>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Isc[s]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26237584"/>
        <c:crosses val="autoZero"/>
        <c:crossBetween val="midCat"/>
      </c:valAx>
      <c:valAx>
        <c:axId val="62623758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Level [N]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2623725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Isp vs Peak Power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PowervsIsc</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150</c:v>
              </c:pt>
              <c:pt idx="1">
                <c:v>188.88888888888889</c:v>
              </c:pt>
              <c:pt idx="2">
                <c:v>227.77777777777777</c:v>
              </c:pt>
              <c:pt idx="3">
                <c:v>266.66666666666663</c:v>
              </c:pt>
              <c:pt idx="4">
                <c:v>305.55555555555554</c:v>
              </c:pt>
              <c:pt idx="5">
                <c:v>344.44444444444446</c:v>
              </c:pt>
              <c:pt idx="6">
                <c:v>383.33333333333331</c:v>
              </c:pt>
              <c:pt idx="7">
                <c:v>422.22222222222217</c:v>
              </c:pt>
              <c:pt idx="8">
                <c:v>461.11111111111109</c:v>
              </c:pt>
              <c:pt idx="9">
                <c:v>500</c:v>
              </c:pt>
              <c:pt idx="10">
                <c:v>538.88888888888891</c:v>
              </c:pt>
              <c:pt idx="11">
                <c:v>577.77777777777771</c:v>
              </c:pt>
              <c:pt idx="12">
                <c:v>616.66666666666663</c:v>
              </c:pt>
              <c:pt idx="13">
                <c:v>655.55555555555554</c:v>
              </c:pt>
              <c:pt idx="14">
                <c:v>694.44444444444434</c:v>
              </c:pt>
              <c:pt idx="15">
                <c:v>733.33333333333326</c:v>
              </c:pt>
              <c:pt idx="16">
                <c:v>772.22222222222217</c:v>
              </c:pt>
              <c:pt idx="17">
                <c:v>811.11111111111109</c:v>
              </c:pt>
              <c:pt idx="18">
                <c:v>850</c:v>
              </c:pt>
              <c:pt idx="19">
                <c:v>888.8888888888888</c:v>
              </c:pt>
              <c:pt idx="20">
                <c:v>927.77777777777771</c:v>
              </c:pt>
              <c:pt idx="21">
                <c:v>966.66666666666663</c:v>
              </c:pt>
              <c:pt idx="22">
                <c:v>1005.5555555555554</c:v>
              </c:pt>
              <c:pt idx="23">
                <c:v>1044.4444444444443</c:v>
              </c:pt>
              <c:pt idx="24">
                <c:v>1083.3333333333333</c:v>
              </c:pt>
              <c:pt idx="25">
                <c:v>1122.2222222222222</c:v>
              </c:pt>
              <c:pt idx="26">
                <c:v>1161.1111111111111</c:v>
              </c:pt>
              <c:pt idx="27">
                <c:v>1200</c:v>
              </c:pt>
              <c:pt idx="28">
                <c:v>1238.8888888888887</c:v>
              </c:pt>
              <c:pt idx="29">
                <c:v>1277.7777777777776</c:v>
              </c:pt>
              <c:pt idx="30">
                <c:v>1316.6666666666665</c:v>
              </c:pt>
              <c:pt idx="31">
                <c:v>1355.5555555555554</c:v>
              </c:pt>
              <c:pt idx="32">
                <c:v>1394.4444444444443</c:v>
              </c:pt>
              <c:pt idx="33">
                <c:v>1433.3333333333333</c:v>
              </c:pt>
              <c:pt idx="34">
                <c:v>1472.2222222222222</c:v>
              </c:pt>
              <c:pt idx="35">
                <c:v>1511.1111111111111</c:v>
              </c:pt>
              <c:pt idx="36">
                <c:v>1550</c:v>
              </c:pt>
              <c:pt idx="37">
                <c:v>1588.8888888888887</c:v>
              </c:pt>
              <c:pt idx="38">
                <c:v>1627.7777777777776</c:v>
              </c:pt>
              <c:pt idx="39">
                <c:v>1666.6666666666665</c:v>
              </c:pt>
              <c:pt idx="40">
                <c:v>1705.5555555555554</c:v>
              </c:pt>
              <c:pt idx="41">
                <c:v>1744.4444444444443</c:v>
              </c:pt>
              <c:pt idx="42">
                <c:v>1783.3333333333333</c:v>
              </c:pt>
              <c:pt idx="43">
                <c:v>1822.2222222222222</c:v>
              </c:pt>
              <c:pt idx="44">
                <c:v>1861.1111111111109</c:v>
              </c:pt>
              <c:pt idx="45">
                <c:v>1899.9999999999998</c:v>
              </c:pt>
              <c:pt idx="46">
                <c:v>1938.8888888888887</c:v>
              </c:pt>
              <c:pt idx="47">
                <c:v>1977.7777777777776</c:v>
              </c:pt>
              <c:pt idx="48">
                <c:v>2016.6666666666665</c:v>
              </c:pt>
              <c:pt idx="49">
                <c:v>2055.5555555555552</c:v>
              </c:pt>
              <c:pt idx="50">
                <c:v>2094.4444444444443</c:v>
              </c:pt>
              <c:pt idx="51">
                <c:v>2133.333333333333</c:v>
              </c:pt>
              <c:pt idx="52">
                <c:v>2172.2222222222222</c:v>
              </c:pt>
              <c:pt idx="53">
                <c:v>2211.1111111111109</c:v>
              </c:pt>
              <c:pt idx="54">
                <c:v>2250</c:v>
              </c:pt>
              <c:pt idx="55">
                <c:v>2288.8888888888887</c:v>
              </c:pt>
              <c:pt idx="56">
                <c:v>2327.7777777777774</c:v>
              </c:pt>
              <c:pt idx="57">
                <c:v>2366.6666666666665</c:v>
              </c:pt>
              <c:pt idx="58">
                <c:v>2405.5555555555552</c:v>
              </c:pt>
              <c:pt idx="59">
                <c:v>2444.4444444444443</c:v>
              </c:pt>
              <c:pt idx="60">
                <c:v>2483.333333333333</c:v>
              </c:pt>
              <c:pt idx="61">
                <c:v>2522.2222222222222</c:v>
              </c:pt>
              <c:pt idx="62">
                <c:v>2561.1111111111109</c:v>
              </c:pt>
              <c:pt idx="63">
                <c:v>2600</c:v>
              </c:pt>
              <c:pt idx="64">
                <c:v>2638.8888888888887</c:v>
              </c:pt>
              <c:pt idx="65">
                <c:v>2677.7777777777774</c:v>
              </c:pt>
              <c:pt idx="66">
                <c:v>2716.6666666666665</c:v>
              </c:pt>
              <c:pt idx="67">
                <c:v>2755.5555555555552</c:v>
              </c:pt>
              <c:pt idx="68">
                <c:v>2794.4444444444443</c:v>
              </c:pt>
              <c:pt idx="69">
                <c:v>2833.333333333333</c:v>
              </c:pt>
              <c:pt idx="70">
                <c:v>2872.2222222222222</c:v>
              </c:pt>
              <c:pt idx="71">
                <c:v>2911.1111111111109</c:v>
              </c:pt>
              <c:pt idx="72">
                <c:v>2950</c:v>
              </c:pt>
              <c:pt idx="73">
                <c:v>2988.8888888888887</c:v>
              </c:pt>
              <c:pt idx="74">
                <c:v>3027.7777777777774</c:v>
              </c:pt>
              <c:pt idx="75">
                <c:v>3066.6666666666665</c:v>
              </c:pt>
              <c:pt idx="76">
                <c:v>3105.5555555555552</c:v>
              </c:pt>
              <c:pt idx="77">
                <c:v>3144.4444444444443</c:v>
              </c:pt>
              <c:pt idx="78">
                <c:v>3183.333333333333</c:v>
              </c:pt>
              <c:pt idx="79">
                <c:v>3222.2222222222222</c:v>
              </c:pt>
              <c:pt idx="80">
                <c:v>3261.1111111111109</c:v>
              </c:pt>
              <c:pt idx="81">
                <c:v>3299.9999999999995</c:v>
              </c:pt>
              <c:pt idx="82">
                <c:v>3338.8888888888887</c:v>
              </c:pt>
              <c:pt idx="83">
                <c:v>3377.7777777777774</c:v>
              </c:pt>
              <c:pt idx="84">
                <c:v>3416.6666666666665</c:v>
              </c:pt>
              <c:pt idx="85">
                <c:v>3455.5555555555552</c:v>
              </c:pt>
              <c:pt idx="86">
                <c:v>3494.4444444444443</c:v>
              </c:pt>
              <c:pt idx="87">
                <c:v>3533.333333333333</c:v>
              </c:pt>
              <c:pt idx="88">
                <c:v>3572.2222222222217</c:v>
              </c:pt>
              <c:pt idx="89">
                <c:v>3611.1111111111109</c:v>
              </c:pt>
              <c:pt idx="90">
                <c:v>3649.9999999999995</c:v>
              </c:pt>
              <c:pt idx="91">
                <c:v>3688.8888888888887</c:v>
              </c:pt>
              <c:pt idx="92">
                <c:v>3727.7777777777774</c:v>
              </c:pt>
              <c:pt idx="93">
                <c:v>3766.6666666666665</c:v>
              </c:pt>
              <c:pt idx="94">
                <c:v>3805.5555555555552</c:v>
              </c:pt>
              <c:pt idx="95">
                <c:v>3844.4444444444443</c:v>
              </c:pt>
              <c:pt idx="96">
                <c:v>3883.333333333333</c:v>
              </c:pt>
              <c:pt idx="97">
                <c:v>3922.2222222222217</c:v>
              </c:pt>
              <c:pt idx="98">
                <c:v>3961.1111111111109</c:v>
              </c:pt>
              <c:pt idx="99">
                <c:v>3999.9999999999995</c:v>
              </c:pt>
            </c:numLit>
          </c:xVal>
          <c:yVal>
            <c:numLit>
              <c:formatCode>General</c:formatCode>
              <c:ptCount val="100"/>
              <c:pt idx="0">
                <c:v>8.3202818133951584E-2</c:v>
              </c:pt>
              <c:pt idx="1">
                <c:v>9.5376435098963722E-2</c:v>
              </c:pt>
              <c:pt idx="2">
                <c:v>0.10825751843307614</c:v>
              </c:pt>
              <c:pt idx="3">
                <c:v>0.12150519430931778</c:v>
              </c:pt>
              <c:pt idx="4">
                <c:v>0.13496879830153011</c:v>
              </c:pt>
              <c:pt idx="5">
                <c:v>0.14857157776875252</c:v>
              </c:pt>
              <c:pt idx="6">
                <c:v>0.1622703598311297</c:v>
              </c:pt>
              <c:pt idx="7">
                <c:v>0.17603901272784761</c:v>
              </c:pt>
              <c:pt idx="8">
                <c:v>0.18986079949011808</c:v>
              </c:pt>
              <c:pt idx="9">
                <c:v>0.20372450745258172</c:v>
              </c:pt>
              <c:pt idx="10">
                <c:v>0.21762234468071606</c:v>
              </c:pt>
              <c:pt idx="11">
                <c:v>0.23154872917876898</c:v>
              </c:pt>
              <c:pt idx="12">
                <c:v>0.24549955818439742</c:v>
              </c:pt>
              <c:pt idx="13">
                <c:v>0.25947174930588929</c:v>
              </c:pt>
              <c:pt idx="14">
                <c:v>0.27346294243751507</c:v>
              </c:pt>
              <c:pt idx="15">
                <c:v>0.28747130037416502</c:v>
              </c:pt>
              <c:pt idx="16">
                <c:v>0.30149537200160537</c:v>
              </c:pt>
              <c:pt idx="17">
                <c:v>0.31553399629446777</c:v>
              </c:pt>
              <c:pt idx="18">
                <c:v>0.32958623359666028</c:v>
              </c:pt>
              <c:pt idx="19">
                <c:v>0.34365131554953438</c:v>
              </c:pt>
              <c:pt idx="20">
                <c:v>0.35772860802069789</c:v>
              </c:pt>
              <c:pt idx="21">
                <c:v>0.37181758325941633</c:v>
              </c:pt>
              <c:pt idx="22">
                <c:v>0.38591779870660686</c:v>
              </c:pt>
              <c:pt idx="23">
                <c:v>0.40002888067532455</c:v>
              </c:pt>
              <c:pt idx="24">
                <c:v>0.41415051164405636</c:v>
              </c:pt>
              <c:pt idx="25">
                <c:v>0.42828242026303764</c:v>
              </c:pt>
              <c:pt idx="26">
                <c:v>0.44242437342110014</c:v>
              </c:pt>
              <c:pt idx="27">
                <c:v>0.4565761698939107</c:v>
              </c:pt>
              <c:pt idx="28">
                <c:v>0.47073763521770323</c:v>
              </c:pt>
              <c:pt idx="29">
                <c:v>0.48490861752126529</c:v>
              </c:pt>
              <c:pt idx="30">
                <c:v>0.49908898411354324</c:v>
              </c:pt>
              <c:pt idx="31">
                <c:v>0.51327861867174251</c:v>
              </c:pt>
              <c:pt idx="32">
                <c:v>0.52747741891016531</c:v>
              </c:pt>
              <c:pt idx="33">
                <c:v>0.54168529463656678</c:v>
              </c:pt>
              <c:pt idx="34">
                <c:v>0.55590216612290089</c:v>
              </c:pt>
              <c:pt idx="35">
                <c:v>0.57012796273269195</c:v>
              </c:pt>
              <c:pt idx="36">
                <c:v>0.58436262175908504</c:v>
              </c:pt>
              <c:pt idx="37">
                <c:v>0.59860608743678956</c:v>
              </c:pt>
              <c:pt idx="38">
                <c:v>0.61285831009829916</c:v>
              </c:pt>
              <c:pt idx="39">
                <c:v>0.62711924545039166</c:v>
              </c:pt>
              <c:pt idx="40">
                <c:v>0.64138885395137801</c:v>
              </c:pt>
              <c:pt idx="41">
                <c:v>0.65566710027309449</c:v>
              </c:pt>
              <c:pt idx="42">
                <c:v>0.48782194424153846</c:v>
              </c:pt>
              <c:pt idx="43">
                <c:v>0.49819284400146918</c:v>
              </c:pt>
              <c:pt idx="44">
                <c:v>0.50856835646672172</c:v>
              </c:pt>
              <c:pt idx="45">
                <c:v>0.51894846277664819</c:v>
              </c:pt>
              <c:pt idx="46">
                <c:v>0.52933314582444213</c:v>
              </c:pt>
              <c:pt idx="47">
                <c:v>0.53972239008226908</c:v>
              </c:pt>
              <c:pt idx="48">
                <c:v>0.55011618144693952</c:v>
              </c:pt>
              <c:pt idx="49">
                <c:v>0.56051450710334905</c:v>
              </c:pt>
              <c:pt idx="50">
                <c:v>0.57091735540336686</c:v>
              </c:pt>
              <c:pt idx="51">
                <c:v>0.58132471575814426</c:v>
              </c:pt>
              <c:pt idx="52">
                <c:v>0.59173657854217143</c:v>
              </c:pt>
              <c:pt idx="53">
                <c:v>0.60215293500758127</c:v>
              </c:pt>
              <c:pt idx="54">
                <c:v>0.6125737772074703</c:v>
              </c:pt>
              <c:pt idx="55">
                <c:v>0.62299909792714192</c:v>
              </c:pt>
              <c:pt idx="56">
                <c:v>0.63342889062232288</c:v>
              </c:pt>
              <c:pt idx="57">
                <c:v>0.64386314936356071</c:v>
              </c:pt>
              <c:pt idx="58">
                <c:v>0.65430186878607421</c:v>
              </c:pt>
              <c:pt idx="59">
                <c:v>0.66474504404445611</c:v>
              </c:pt>
              <c:pt idx="60">
                <c:v>0.67519267077168321</c:v>
              </c:pt>
              <c:pt idx="61">
                <c:v>0.68564474504195949</c:v>
              </c:pt>
              <c:pt idx="62">
                <c:v>0.69610126333699662</c:v>
              </c:pt>
              <c:pt idx="63">
                <c:v>0.70656222251533884</c:v>
              </c:pt>
              <c:pt idx="64">
                <c:v>0.71702761978445462</c:v>
              </c:pt>
              <c:pt idx="65">
                <c:v>0.727497452675261</c:v>
              </c:pt>
              <c:pt idx="66">
                <c:v>0.73797171901888703</c:v>
              </c:pt>
              <c:pt idx="67">
                <c:v>0.74845041692540548</c:v>
              </c:pt>
              <c:pt idx="68">
                <c:v>0.75893354476437558</c:v>
              </c:pt>
              <c:pt idx="69">
                <c:v>0.76942110114699525</c:v>
              </c:pt>
              <c:pt idx="70">
                <c:v>0.77991308490972666</c:v>
              </c:pt>
              <c:pt idx="71">
                <c:v>0.79040949509923808</c:v>
              </c:pt>
              <c:pt idx="72">
                <c:v>0.8009103309585629</c:v>
              </c:pt>
              <c:pt idx="73">
                <c:v>0.81141559191433454</c:v>
              </c:pt>
              <c:pt idx="74">
                <c:v>0.82192527756503275</c:v>
              </c:pt>
              <c:pt idx="75">
                <c:v>0.83243938767011261</c:v>
              </c:pt>
              <c:pt idx="76">
                <c:v>0.84295792213998477</c:v>
              </c:pt>
              <c:pt idx="77">
                <c:v>0.85348088102671704</c:v>
              </c:pt>
              <c:pt idx="78">
                <c:v>0.8640082645154491</c:v>
              </c:pt>
              <c:pt idx="79">
                <c:v>0.87454007291641811</c:v>
              </c:pt>
              <c:pt idx="80">
                <c:v>0.88507630665757508</c:v>
              </c:pt>
              <c:pt idx="81">
                <c:v>0.89561696627771314</c:v>
              </c:pt>
              <c:pt idx="82">
                <c:v>0.90616205242008629</c:v>
              </c:pt>
              <c:pt idx="83">
                <c:v>0.91671156582648572</c:v>
              </c:pt>
              <c:pt idx="84">
                <c:v>0.92726550733170265</c:v>
              </c:pt>
              <c:pt idx="85">
                <c:v>0.93782387785838139</c:v>
              </c:pt>
              <c:pt idx="86">
                <c:v>0.94838667841221924</c:v>
              </c:pt>
              <c:pt idx="87">
                <c:v>0.95895391007748476</c:v>
              </c:pt>
              <c:pt idx="88">
                <c:v>0.96952557401283002</c:v>
              </c:pt>
              <c:pt idx="89">
                <c:v>0.9801016714473747</c:v>
              </c:pt>
              <c:pt idx="90">
                <c:v>0.99068220367704052</c:v>
              </c:pt>
              <c:pt idx="91">
                <c:v>1.0012671720611399</c:v>
              </c:pt>
              <c:pt idx="92">
                <c:v>1.0118565780191471</c:v>
              </c:pt>
              <c:pt idx="93">
                <c:v>1.0224504230276907</c:v>
              </c:pt>
              <c:pt idx="94">
                <c:v>1.0330487086177418</c:v>
              </c:pt>
              <c:pt idx="95">
                <c:v>1.0436514363719509</c:v>
              </c:pt>
              <c:pt idx="96">
                <c:v>1.0542586079221485</c:v>
              </c:pt>
              <c:pt idx="97">
                <c:v>1.0648702249470277</c:v>
              </c:pt>
              <c:pt idx="98">
                <c:v>1.0754862891699271</c:v>
              </c:pt>
              <c:pt idx="99">
                <c:v>1.0861068023567524</c:v>
              </c:pt>
            </c:numLit>
          </c:yVal>
          <c:smooth val="0"/>
          <c:extLst>
            <c:ext xmlns:c16="http://schemas.microsoft.com/office/drawing/2014/chart" uri="{C3380CC4-5D6E-409C-BE32-E72D297353CC}">
              <c16:uniqueId val="{00000001-7821-4A2C-ABCB-5EF8A400BE1F}"/>
            </c:ext>
          </c:extLst>
        </c:ser>
        <c:dLbls>
          <c:showLegendKey val="0"/>
          <c:showVal val="0"/>
          <c:showCatName val="0"/>
          <c:showSerName val="0"/>
          <c:showPercent val="0"/>
          <c:showBubbleSize val="0"/>
        </c:dLbls>
        <c:axId val="549750840"/>
        <c:axId val="549747232"/>
      </c:scatterChart>
      <c:valAx>
        <c:axId val="549750840"/>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Isc[s]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49747232"/>
        <c:crosses val="autoZero"/>
        <c:crossBetween val="midCat"/>
      </c:valAx>
      <c:valAx>
        <c:axId val="549747232"/>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Peak Power [W]</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4975084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Burn Duration vs Peak Power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Burn Duration vs Peak Power</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200"/>
              <c:pt idx="0">
                <c:v>50</c:v>
              </c:pt>
              <c:pt idx="1">
                <c:v>53.517587939698494</c:v>
              </c:pt>
              <c:pt idx="2">
                <c:v>57.035175879396988</c:v>
              </c:pt>
              <c:pt idx="3">
                <c:v>60.552763819095475</c:v>
              </c:pt>
              <c:pt idx="4">
                <c:v>64.070351758793976</c:v>
              </c:pt>
              <c:pt idx="5">
                <c:v>67.587939698492463</c:v>
              </c:pt>
              <c:pt idx="6">
                <c:v>71.105527638190949</c:v>
              </c:pt>
              <c:pt idx="7">
                <c:v>74.62311557788945</c:v>
              </c:pt>
              <c:pt idx="8">
                <c:v>78.140703517587937</c:v>
              </c:pt>
              <c:pt idx="9">
                <c:v>81.658291457286438</c:v>
              </c:pt>
              <c:pt idx="10">
                <c:v>85.175879396984925</c:v>
              </c:pt>
              <c:pt idx="11">
                <c:v>88.693467336683412</c:v>
              </c:pt>
              <c:pt idx="12">
                <c:v>92.211055276381913</c:v>
              </c:pt>
              <c:pt idx="13">
                <c:v>95.7286432160804</c:v>
              </c:pt>
              <c:pt idx="14">
                <c:v>99.246231155778901</c:v>
              </c:pt>
              <c:pt idx="15">
                <c:v>102.76381909547739</c:v>
              </c:pt>
              <c:pt idx="16">
                <c:v>106.28140703517587</c:v>
              </c:pt>
              <c:pt idx="17">
                <c:v>109.79899497487438</c:v>
              </c:pt>
              <c:pt idx="18">
                <c:v>113.31658291457286</c:v>
              </c:pt>
              <c:pt idx="19">
                <c:v>116.83417085427136</c:v>
              </c:pt>
              <c:pt idx="20">
                <c:v>120.35175879396985</c:v>
              </c:pt>
              <c:pt idx="21">
                <c:v>123.86934673366835</c:v>
              </c:pt>
              <c:pt idx="22">
                <c:v>127.38693467336684</c:v>
              </c:pt>
              <c:pt idx="23">
                <c:v>130.90452261306532</c:v>
              </c:pt>
              <c:pt idx="24">
                <c:v>134.42211055276383</c:v>
              </c:pt>
              <c:pt idx="25">
                <c:v>137.93969849246233</c:v>
              </c:pt>
              <c:pt idx="26">
                <c:v>141.4572864321608</c:v>
              </c:pt>
              <c:pt idx="27">
                <c:v>144.9748743718593</c:v>
              </c:pt>
              <c:pt idx="28">
                <c:v>148.4924623115578</c:v>
              </c:pt>
              <c:pt idx="29">
                <c:v>152.01005025125627</c:v>
              </c:pt>
              <c:pt idx="30">
                <c:v>155.52763819095478</c:v>
              </c:pt>
              <c:pt idx="31">
                <c:v>159.04522613065328</c:v>
              </c:pt>
              <c:pt idx="32">
                <c:v>162.56281407035175</c:v>
              </c:pt>
              <c:pt idx="33">
                <c:v>166.08040201005025</c:v>
              </c:pt>
              <c:pt idx="34">
                <c:v>169.59798994974875</c:v>
              </c:pt>
              <c:pt idx="35">
                <c:v>173.11557788944725</c:v>
              </c:pt>
              <c:pt idx="36">
                <c:v>176.63316582914572</c:v>
              </c:pt>
              <c:pt idx="37">
                <c:v>180.15075376884423</c:v>
              </c:pt>
              <c:pt idx="38">
                <c:v>183.66834170854273</c:v>
              </c:pt>
              <c:pt idx="39">
                <c:v>187.1859296482412</c:v>
              </c:pt>
              <c:pt idx="40">
                <c:v>190.7035175879397</c:v>
              </c:pt>
              <c:pt idx="41">
                <c:v>194.2211055276382</c:v>
              </c:pt>
              <c:pt idx="42">
                <c:v>197.7386934673367</c:v>
              </c:pt>
              <c:pt idx="43">
                <c:v>201.25628140703517</c:v>
              </c:pt>
              <c:pt idx="44">
                <c:v>204.77386934673368</c:v>
              </c:pt>
              <c:pt idx="45">
                <c:v>208.29145728643218</c:v>
              </c:pt>
              <c:pt idx="46">
                <c:v>211.80904522613065</c:v>
              </c:pt>
              <c:pt idx="47">
                <c:v>215.32663316582915</c:v>
              </c:pt>
              <c:pt idx="48">
                <c:v>218.84422110552765</c:v>
              </c:pt>
              <c:pt idx="49">
                <c:v>222.36180904522612</c:v>
              </c:pt>
              <c:pt idx="50">
                <c:v>225.87939698492463</c:v>
              </c:pt>
              <c:pt idx="51">
                <c:v>229.39698492462313</c:v>
              </c:pt>
              <c:pt idx="52">
                <c:v>232.91457286432163</c:v>
              </c:pt>
              <c:pt idx="53">
                <c:v>236.4321608040201</c:v>
              </c:pt>
              <c:pt idx="54">
                <c:v>239.9497487437186</c:v>
              </c:pt>
              <c:pt idx="55">
                <c:v>243.4673366834171</c:v>
              </c:pt>
              <c:pt idx="56">
                <c:v>246.98492462311557</c:v>
              </c:pt>
              <c:pt idx="57">
                <c:v>250.50251256281408</c:v>
              </c:pt>
              <c:pt idx="58">
                <c:v>254.02010050251258</c:v>
              </c:pt>
              <c:pt idx="59">
                <c:v>257.53768844221105</c:v>
              </c:pt>
              <c:pt idx="60">
                <c:v>261.05527638190955</c:v>
              </c:pt>
              <c:pt idx="61">
                <c:v>264.57286432160805</c:v>
              </c:pt>
              <c:pt idx="62">
                <c:v>268.09045226130655</c:v>
              </c:pt>
              <c:pt idx="63">
                <c:v>271.60804020100505</c:v>
              </c:pt>
              <c:pt idx="64">
                <c:v>275.1256281407035</c:v>
              </c:pt>
              <c:pt idx="65">
                <c:v>278.643216080402</c:v>
              </c:pt>
              <c:pt idx="66">
                <c:v>282.1608040201005</c:v>
              </c:pt>
              <c:pt idx="67">
                <c:v>285.678391959799</c:v>
              </c:pt>
              <c:pt idx="68">
                <c:v>289.1959798994975</c:v>
              </c:pt>
              <c:pt idx="69">
                <c:v>292.713567839196</c:v>
              </c:pt>
              <c:pt idx="70">
                <c:v>296.2311557788945</c:v>
              </c:pt>
              <c:pt idx="71">
                <c:v>299.74874371859295</c:v>
              </c:pt>
              <c:pt idx="72">
                <c:v>303.26633165829145</c:v>
              </c:pt>
              <c:pt idx="73">
                <c:v>306.78391959798995</c:v>
              </c:pt>
              <c:pt idx="74">
                <c:v>310.30150753768845</c:v>
              </c:pt>
              <c:pt idx="75">
                <c:v>313.81909547738695</c:v>
              </c:pt>
              <c:pt idx="76">
                <c:v>317.33668341708545</c:v>
              </c:pt>
              <c:pt idx="77">
                <c:v>320.85427135678395</c:v>
              </c:pt>
              <c:pt idx="78">
                <c:v>324.3718592964824</c:v>
              </c:pt>
              <c:pt idx="79">
                <c:v>327.8894472361809</c:v>
              </c:pt>
              <c:pt idx="80">
                <c:v>331.4070351758794</c:v>
              </c:pt>
              <c:pt idx="81">
                <c:v>334.9246231155779</c:v>
              </c:pt>
              <c:pt idx="82">
                <c:v>338.4422110552764</c:v>
              </c:pt>
              <c:pt idx="83">
                <c:v>341.9597989949749</c:v>
              </c:pt>
              <c:pt idx="84">
                <c:v>345.4773869346734</c:v>
              </c:pt>
              <c:pt idx="85">
                <c:v>348.99497487437185</c:v>
              </c:pt>
              <c:pt idx="86">
                <c:v>352.51256281407035</c:v>
              </c:pt>
              <c:pt idx="87">
                <c:v>356.03015075376885</c:v>
              </c:pt>
              <c:pt idx="88">
                <c:v>359.54773869346735</c:v>
              </c:pt>
              <c:pt idx="89">
                <c:v>363.06532663316585</c:v>
              </c:pt>
              <c:pt idx="90">
                <c:v>366.58291457286435</c:v>
              </c:pt>
              <c:pt idx="91">
                <c:v>370.1005025125628</c:v>
              </c:pt>
              <c:pt idx="92">
                <c:v>373.6180904522613</c:v>
              </c:pt>
              <c:pt idx="93">
                <c:v>377.1356783919598</c:v>
              </c:pt>
              <c:pt idx="94">
                <c:v>380.6532663316583</c:v>
              </c:pt>
              <c:pt idx="95">
                <c:v>384.1708542713568</c:v>
              </c:pt>
              <c:pt idx="96">
                <c:v>387.6884422110553</c:v>
              </c:pt>
              <c:pt idx="97">
                <c:v>391.2060301507538</c:v>
              </c:pt>
              <c:pt idx="98">
                <c:v>394.72361809045225</c:v>
              </c:pt>
              <c:pt idx="99">
                <c:v>398.24120603015075</c:v>
              </c:pt>
              <c:pt idx="100">
                <c:v>401.75879396984925</c:v>
              </c:pt>
              <c:pt idx="101">
                <c:v>405.27638190954775</c:v>
              </c:pt>
              <c:pt idx="102">
                <c:v>408.79396984924625</c:v>
              </c:pt>
              <c:pt idx="103">
                <c:v>412.31155778894475</c:v>
              </c:pt>
              <c:pt idx="104">
                <c:v>415.82914572864325</c:v>
              </c:pt>
              <c:pt idx="105">
                <c:v>419.3467336683417</c:v>
              </c:pt>
              <c:pt idx="106">
                <c:v>422.8643216080402</c:v>
              </c:pt>
              <c:pt idx="107">
                <c:v>426.3819095477387</c:v>
              </c:pt>
              <c:pt idx="108">
                <c:v>429.8994974874372</c:v>
              </c:pt>
              <c:pt idx="109">
                <c:v>433.4170854271357</c:v>
              </c:pt>
              <c:pt idx="110">
                <c:v>436.9346733668342</c:v>
              </c:pt>
              <c:pt idx="111">
                <c:v>440.45226130653271</c:v>
              </c:pt>
              <c:pt idx="112">
                <c:v>443.96984924623115</c:v>
              </c:pt>
              <c:pt idx="113">
                <c:v>447.48743718592965</c:v>
              </c:pt>
              <c:pt idx="114">
                <c:v>451.00502512562815</c:v>
              </c:pt>
              <c:pt idx="115">
                <c:v>454.52261306532665</c:v>
              </c:pt>
              <c:pt idx="116">
                <c:v>458.04020100502515</c:v>
              </c:pt>
              <c:pt idx="117">
                <c:v>461.55778894472365</c:v>
              </c:pt>
              <c:pt idx="118">
                <c:v>465.0753768844221</c:v>
              </c:pt>
              <c:pt idx="119">
                <c:v>468.5929648241206</c:v>
              </c:pt>
              <c:pt idx="120">
                <c:v>472.1105527638191</c:v>
              </c:pt>
              <c:pt idx="121">
                <c:v>475.6281407035176</c:v>
              </c:pt>
              <c:pt idx="122">
                <c:v>479.1457286432161</c:v>
              </c:pt>
              <c:pt idx="123">
                <c:v>482.6633165829146</c:v>
              </c:pt>
              <c:pt idx="124">
                <c:v>486.1809045226131</c:v>
              </c:pt>
              <c:pt idx="125">
                <c:v>489.69849246231155</c:v>
              </c:pt>
              <c:pt idx="126">
                <c:v>493.21608040201005</c:v>
              </c:pt>
              <c:pt idx="127">
                <c:v>496.73366834170855</c:v>
              </c:pt>
              <c:pt idx="128">
                <c:v>500.25125628140705</c:v>
              </c:pt>
              <c:pt idx="129">
                <c:v>503.76884422110555</c:v>
              </c:pt>
              <c:pt idx="130">
                <c:v>507.28643216080405</c:v>
              </c:pt>
              <c:pt idx="131">
                <c:v>510.80402010050256</c:v>
              </c:pt>
              <c:pt idx="132">
                <c:v>514.321608040201</c:v>
              </c:pt>
              <c:pt idx="133">
                <c:v>517.8391959798995</c:v>
              </c:pt>
              <c:pt idx="134">
                <c:v>521.356783919598</c:v>
              </c:pt>
              <c:pt idx="135">
                <c:v>524.8743718592965</c:v>
              </c:pt>
              <c:pt idx="136">
                <c:v>528.391959798995</c:v>
              </c:pt>
              <c:pt idx="137">
                <c:v>531.9095477386935</c:v>
              </c:pt>
              <c:pt idx="138">
                <c:v>535.42713567839201</c:v>
              </c:pt>
              <c:pt idx="139">
                <c:v>538.94472361809051</c:v>
              </c:pt>
              <c:pt idx="140">
                <c:v>542.46231155778901</c:v>
              </c:pt>
              <c:pt idx="141">
                <c:v>545.97989949748751</c:v>
              </c:pt>
              <c:pt idx="142">
                <c:v>549.4974874371859</c:v>
              </c:pt>
              <c:pt idx="143">
                <c:v>553.0150753768844</c:v>
              </c:pt>
              <c:pt idx="144">
                <c:v>556.5326633165829</c:v>
              </c:pt>
              <c:pt idx="145">
                <c:v>560.0502512562814</c:v>
              </c:pt>
              <c:pt idx="146">
                <c:v>563.5678391959799</c:v>
              </c:pt>
              <c:pt idx="147">
                <c:v>567.0854271356784</c:v>
              </c:pt>
              <c:pt idx="148">
                <c:v>570.6030150753769</c:v>
              </c:pt>
              <c:pt idx="149">
                <c:v>574.1206030150754</c:v>
              </c:pt>
              <c:pt idx="150">
                <c:v>577.6381909547739</c:v>
              </c:pt>
              <c:pt idx="151">
                <c:v>581.15577889447241</c:v>
              </c:pt>
              <c:pt idx="152">
                <c:v>584.67336683417091</c:v>
              </c:pt>
              <c:pt idx="153">
                <c:v>588.19095477386941</c:v>
              </c:pt>
              <c:pt idx="154">
                <c:v>591.70854271356791</c:v>
              </c:pt>
              <c:pt idx="155">
                <c:v>595.2261306532663</c:v>
              </c:pt>
              <c:pt idx="156">
                <c:v>598.7437185929648</c:v>
              </c:pt>
              <c:pt idx="157">
                <c:v>602.2613065326633</c:v>
              </c:pt>
              <c:pt idx="158">
                <c:v>605.7788944723618</c:v>
              </c:pt>
              <c:pt idx="159">
                <c:v>609.2964824120603</c:v>
              </c:pt>
              <c:pt idx="160">
                <c:v>612.8140703517588</c:v>
              </c:pt>
              <c:pt idx="161">
                <c:v>616.3316582914573</c:v>
              </c:pt>
              <c:pt idx="162">
                <c:v>619.8492462311558</c:v>
              </c:pt>
              <c:pt idx="163">
                <c:v>623.3668341708543</c:v>
              </c:pt>
              <c:pt idx="164">
                <c:v>626.8844221105528</c:v>
              </c:pt>
              <c:pt idx="165">
                <c:v>630.40201005025131</c:v>
              </c:pt>
              <c:pt idx="166">
                <c:v>633.91959798994981</c:v>
              </c:pt>
              <c:pt idx="167">
                <c:v>637.43718592964831</c:v>
              </c:pt>
              <c:pt idx="168">
                <c:v>640.95477386934681</c:v>
              </c:pt>
              <c:pt idx="169">
                <c:v>644.4723618090452</c:v>
              </c:pt>
              <c:pt idx="170">
                <c:v>647.9899497487437</c:v>
              </c:pt>
              <c:pt idx="171">
                <c:v>651.5075376884422</c:v>
              </c:pt>
              <c:pt idx="172">
                <c:v>655.0251256281407</c:v>
              </c:pt>
              <c:pt idx="173">
                <c:v>658.5427135678392</c:v>
              </c:pt>
              <c:pt idx="174">
                <c:v>662.0603015075377</c:v>
              </c:pt>
              <c:pt idx="175">
                <c:v>665.5778894472362</c:v>
              </c:pt>
              <c:pt idx="176">
                <c:v>669.0954773869347</c:v>
              </c:pt>
              <c:pt idx="177">
                <c:v>672.6130653266332</c:v>
              </c:pt>
              <c:pt idx="178">
                <c:v>676.13065326633171</c:v>
              </c:pt>
              <c:pt idx="179">
                <c:v>679.64824120603021</c:v>
              </c:pt>
              <c:pt idx="180">
                <c:v>683.16582914572871</c:v>
              </c:pt>
              <c:pt idx="181">
                <c:v>686.68341708542721</c:v>
              </c:pt>
              <c:pt idx="182">
                <c:v>690.2010050251256</c:v>
              </c:pt>
              <c:pt idx="183">
                <c:v>693.7185929648241</c:v>
              </c:pt>
              <c:pt idx="184">
                <c:v>697.2361809045226</c:v>
              </c:pt>
              <c:pt idx="185">
                <c:v>700.7537688442211</c:v>
              </c:pt>
              <c:pt idx="186">
                <c:v>704.2713567839196</c:v>
              </c:pt>
              <c:pt idx="187">
                <c:v>707.7889447236181</c:v>
              </c:pt>
              <c:pt idx="188">
                <c:v>711.3065326633166</c:v>
              </c:pt>
              <c:pt idx="189">
                <c:v>714.8241206030151</c:v>
              </c:pt>
              <c:pt idx="190">
                <c:v>718.3417085427136</c:v>
              </c:pt>
              <c:pt idx="191">
                <c:v>721.85929648241211</c:v>
              </c:pt>
              <c:pt idx="192">
                <c:v>725.37688442211061</c:v>
              </c:pt>
              <c:pt idx="193">
                <c:v>728.89447236180911</c:v>
              </c:pt>
              <c:pt idx="194">
                <c:v>732.41206030150761</c:v>
              </c:pt>
              <c:pt idx="195">
                <c:v>735.92964824120611</c:v>
              </c:pt>
              <c:pt idx="196">
                <c:v>739.4472361809045</c:v>
              </c:pt>
              <c:pt idx="197">
                <c:v>742.964824120603</c:v>
              </c:pt>
              <c:pt idx="198">
                <c:v>746.4824120603015</c:v>
              </c:pt>
              <c:pt idx="199">
                <c:v>750</c:v>
              </c:pt>
            </c:numLit>
          </c:xVal>
          <c:yVal>
            <c:numLit>
              <c:formatCode>General</c:formatCode>
              <c:ptCount val="200"/>
              <c:pt idx="0">
                <c:v>4.918266870793282</c:v>
              </c:pt>
              <c:pt idx="1">
                <c:v>4.5654831605917865</c:v>
              </c:pt>
              <c:pt idx="2">
                <c:v>4.2599220464443919</c:v>
              </c:pt>
              <c:pt idx="3">
                <c:v>3.9926966932602883</c:v>
              </c:pt>
              <c:pt idx="4">
                <c:v>3.7570185299866456</c:v>
              </c:pt>
              <c:pt idx="5">
                <c:v>3.5476124918337026</c:v>
              </c:pt>
              <c:pt idx="6">
                <c:v>3.3603174950287502</c:v>
              </c:pt>
              <c:pt idx="7">
                <c:v>3.1918071219045054</c:v>
              </c:pt>
              <c:pt idx="8">
                <c:v>3.0393903339090458</c:v>
              </c:pt>
              <c:pt idx="9">
                <c:v>2.9008666809958861</c:v>
              </c:pt>
              <c:pt idx="10">
                <c:v>2.7744193791079454</c:v>
              </c:pt>
              <c:pt idx="11">
                <c:v>2.6585351838188829</c:v>
              </c:pt>
              <c:pt idx="12">
                <c:v>2.5519435395523162</c:v>
              </c:pt>
              <c:pt idx="13">
                <c:v>2.4535698030591293</c:v>
              </c:pt>
              <c:pt idx="14">
                <c:v>2.362498884322215</c:v>
              </c:pt>
              <c:pt idx="15">
                <c:v>2.2779466950613667</c:v>
              </c:pt>
              <c:pt idx="16">
                <c:v>2.1992375164233704</c:v>
              </c:pt>
              <c:pt idx="17">
                <c:v>2.1257859020067822</c:v>
              </c:pt>
              <c:pt idx="18">
                <c:v>2.0570820901710154</c:v>
              </c:pt>
              <c:pt idx="19">
                <c:v>1.9926801565632402</c:v>
              </c:pt>
              <c:pt idx="20">
                <c:v>1.9321883245691758</c:v>
              </c:pt>
              <c:pt idx="21">
                <c:v>1.8752609886410929</c:v>
              </c:pt>
              <c:pt idx="22">
                <c:v>1.8215921073521526</c:v>
              </c:pt>
              <c:pt idx="23">
                <c:v>1.770909699406497</c:v>
              </c:pt>
              <c:pt idx="24">
                <c:v>1.7229712336062712</c:v>
              </c:pt>
              <c:pt idx="25">
                <c:v>1.6775597478445565</c:v>
              </c:pt>
              <c:pt idx="26">
                <c:v>1.634480566076203</c:v>
              </c:pt>
              <c:pt idx="27">
                <c:v>1.5935585084666619</c:v>
              </c:pt>
              <c:pt idx="28">
                <c:v>1.5546355103969876</c:v>
              </c:pt>
              <c:pt idx="29">
                <c:v>1.5175685820869604</c:v>
              </c:pt>
              <c:pt idx="30">
                <c:v>1.4822280533110768</c:v>
              </c:pt>
              <c:pt idx="31">
                <c:v>1.4484960577911623</c:v>
              </c:pt>
              <c:pt idx="32">
                <c:v>1.4162652199338557</c:v>
              </c:pt>
              <c:pt idx="33">
                <c:v>1.3854375130820529</c:v>
              </c:pt>
              <c:pt idx="34">
                <c:v>1.3559232637037126</c:v>
              </c:pt>
              <c:pt idx="35">
                <c:v>1.3276402802094505</c:v>
              </c:pt>
              <c:pt idx="36">
                <c:v>1.3005130885734557</c:v>
              </c:pt>
              <c:pt idx="37">
                <c:v>1.2744722597876896</c:v>
              </c:pt>
              <c:pt idx="38">
                <c:v>1.2494538165302853</c:v>
              </c:pt>
              <c:pt idx="39">
                <c:v>1.2253987083726354</c:v>
              </c:pt>
              <c:pt idx="40">
                <c:v>1.2022523464628656</c:v>
              </c:pt>
              <c:pt idx="41">
                <c:v>1.1799641899673978</c:v>
              </c:pt>
              <c:pt idx="42">
                <c:v>1.1584873776761702</c:v>
              </c:pt>
              <c:pt idx="43">
                <c:v>1.137778399120142</c:v>
              </c:pt>
              <c:pt idx="44">
                <c:v>1.1177968003436851</c:v>
              </c:pt>
              <c:pt idx="45">
                <c:v>1.0985049201451522</c:v>
              </c:pt>
              <c:pt idx="46">
                <c:v>1.0798676531671418</c:v>
              </c:pt>
              <c:pt idx="47">
                <c:v>1.0618522367009346</c:v>
              </c:pt>
              <c:pt idx="48">
                <c:v>1.0444280584811809</c:v>
              </c:pt>
              <c:pt idx="49">
                <c:v>1.0275664830987299</c:v>
              </c:pt>
              <c:pt idx="50">
                <c:v>1.011240694960978</c:v>
              </c:pt>
              <c:pt idx="51">
                <c:v>0.99542555598820792</c:v>
              </c:pt>
              <c:pt idx="52">
                <c:v>0.98009747645751299</c:v>
              </c:pt>
              <c:pt idx="53">
                <c:v>0.96523429759863999</c:v>
              </c:pt>
              <c:pt idx="54">
                <c:v>0.95081518471284876</c:v>
              </c:pt>
              <c:pt idx="55">
                <c:v>0.93682052973061447</c:v>
              </c:pt>
              <c:pt idx="56">
                <c:v>0.92323186224977982</c:v>
              </c:pt>
              <c:pt idx="57">
                <c:v>0.91003176820541098</c:v>
              </c:pt>
              <c:pt idx="58">
                <c:v>0.89720381541830951</c:v>
              </c:pt>
              <c:pt idx="59">
                <c:v>0.88473248535287397</c:v>
              </c:pt>
              <c:pt idx="60">
                <c:v>0.87260311048841988</c:v>
              </c:pt>
              <c:pt idx="61">
                <c:v>0.86080181677253154</c:v>
              </c:pt>
              <c:pt idx="62">
                <c:v>0.84931547068174962</c:v>
              </c:pt>
              <c:pt idx="63">
                <c:v>0.83813163046490713</c:v>
              </c:pt>
              <c:pt idx="64">
                <c:v>0.8272385011885891</c:v>
              </c:pt>
              <c:pt idx="65">
                <c:v>0.81662489324323129</c:v>
              </c:pt>
              <c:pt idx="66">
                <c:v>0.80628018400300216</c:v>
              </c:pt>
              <c:pt idx="67">
                <c:v>0.79619428236330292</c:v>
              </c:pt>
              <c:pt idx="68">
                <c:v>0.78635759590702359</c:v>
              </c:pt>
              <c:pt idx="69">
                <c:v>0.77676100047499097</c:v>
              </c:pt>
              <c:pt idx="70">
                <c:v>0.76739581193769701</c:v>
              </c:pt>
              <c:pt idx="71">
                <c:v>0.75825375998474576</c:v>
              </c:pt>
              <c:pt idx="72">
                <c:v>0.74932696376572994</c:v>
              </c:pt>
              <c:pt idx="73">
                <c:v>0.74060790923174924</c:v>
              </c:pt>
              <c:pt idx="74">
                <c:v>0.73208942804062949</c:v>
              </c:pt>
              <c:pt idx="75">
                <c:v>0.7237646779013891</c:v>
              </c:pt>
              <c:pt idx="76">
                <c:v>0.71562712424466635</c:v>
              </c:pt>
              <c:pt idx="77">
                <c:v>0.70767052311592005</c:v>
              </c:pt>
              <c:pt idx="78">
                <c:v>0.69988890519727653</c:v>
              </c:pt>
              <c:pt idx="79">
                <c:v>0.69227656087209555</c:v>
              </c:pt>
              <c:pt idx="80">
                <c:v>0.68482802625372252</c:v>
              </c:pt>
              <c:pt idx="81">
                <c:v>0.6775380701065763</c:v>
              </c:pt>
              <c:pt idx="82">
                <c:v>0.67040168159378921</c:v>
              </c:pt>
              <c:pt idx="83">
                <c:v>0.66341405879108306</c:v>
              </c:pt>
              <c:pt idx="84">
                <c:v>0.65657059791156092</c:v>
              </c:pt>
              <c:pt idx="85">
                <c:v>0.64986688319059716</c:v>
              </c:pt>
              <c:pt idx="86">
                <c:v>0.64329867738413304</c:v>
              </c:pt>
              <c:pt idx="87">
                <c:v>0.63686191283740379</c:v>
              </c:pt>
              <c:pt idx="88">
                <c:v>0.63055268308455004</c:v>
              </c:pt>
              <c:pt idx="89">
                <c:v>0.62436723494264945</c:v>
              </c:pt>
              <c:pt idx="90">
                <c:v>0.61830196106655722</c:v>
              </c:pt>
              <c:pt idx="91">
                <c:v>0.61235339293351432</c:v>
              </c:pt>
              <c:pt idx="92">
                <c:v>0.60651819422886011</c:v>
              </c:pt>
              <c:pt idx="93">
                <c:v>0.60079315460634819</c:v>
              </c:pt>
              <c:pt idx="94">
                <c:v>0.59517518379853973</c:v>
              </c:pt>
              <c:pt idx="95">
                <c:v>0.58966130605457745</c:v>
              </c:pt>
              <c:pt idx="96">
                <c:v>0.58424865488430111</c:v>
              </c:pt>
              <c:pt idx="97">
                <c:v>0.57893446808920213</c:v>
              </c:pt>
              <c:pt idx="98">
                <c:v>0.57371608306211386</c:v>
              </c:pt>
              <c:pt idx="99">
                <c:v>0.56859093233884062</c:v>
              </c:pt>
              <c:pt idx="100">
                <c:v>0.56355653938610317</c:v>
              </c:pt>
              <c:pt idx="101">
                <c:v>0.55861051461128619</c:v>
              </c:pt>
              <c:pt idx="102">
                <c:v>0.55375055158048003</c:v>
              </c:pt>
              <c:pt idx="103">
                <c:v>0.54897442343223823</c:v>
              </c:pt>
              <c:pt idx="104">
                <c:v>0.54427997947533879</c:v>
              </c:pt>
              <c:pt idx="105">
                <c:v>0.53966514195962645</c:v>
              </c:pt>
              <c:pt idx="106">
                <c:v>0.53512790300974966</c:v>
              </c:pt>
              <c:pt idx="107">
                <c:v>0.53066632171228434</c:v>
              </c:pt>
              <c:pt idx="108">
                <c:v>0.52627852134737163</c:v>
              </c:pt>
              <c:pt idx="109">
                <c:v>0.52196268675656654</c:v>
              </c:pt>
              <c:pt idx="110">
                <c:v>0.51771706183914634</c:v>
              </c:pt>
              <c:pt idx="111">
                <c:v>0.51353994716962437</c:v>
              </c:pt>
              <c:pt idx="112">
                <c:v>0.50942969772967461</c:v>
              </c:pt>
              <c:pt idx="113">
                <c:v>0.50538472074811192</c:v>
              </c:pt>
              <c:pt idx="114">
                <c:v>0.50140347364296645</c:v>
              </c:pt>
              <c:pt idx="115">
                <c:v>0.49748446206006847</c:v>
              </c:pt>
              <c:pt idx="116">
                <c:v>0.49362623800290284</c:v>
              </c:pt>
              <c:pt idx="117">
                <c:v>0.48982739804881664</c:v>
              </c:pt>
              <c:pt idx="118">
                <c:v>0.48608658164696494</c:v>
              </c:pt>
              <c:pt idx="119">
                <c:v>0.48240246949365551</c:v>
              </c:pt>
              <c:pt idx="120">
                <c:v>0.47877378198101944</c:v>
              </c:pt>
              <c:pt idx="121">
                <c:v>0.47519927771517556</c:v>
              </c:pt>
              <c:pt idx="122">
                <c:v>0.47167775210028101</c:v>
              </c:pt>
              <c:pt idx="123">
                <c:v>0.46820803598507849</c:v>
              </c:pt>
              <c:pt idx="124">
                <c:v>0.4647889943687441</c:v>
              </c:pt>
              <c:pt idx="125">
                <c:v>0.46141952516302542</c:v>
              </c:pt>
              <c:pt idx="126">
                <c:v>0.45809855800783733</c:v>
              </c:pt>
              <c:pt idx="127">
                <c:v>0.45482505313763683</c:v>
              </c:pt>
              <c:pt idx="128">
                <c:v>0.45159800029605879</c:v>
              </c:pt>
              <c:pt idx="129">
                <c:v>0.44841641769643098</c:v>
              </c:pt>
              <c:pt idx="130">
                <c:v>0.44527935102592126</c:v>
              </c:pt>
              <c:pt idx="131">
                <c:v>0.44218587249119584</c:v>
              </c:pt>
              <c:pt idx="132">
                <c:v>0.43913507990358347</c:v>
              </c:pt>
              <c:pt idx="133">
                <c:v>0.43612609580185135</c:v>
              </c:pt>
              <c:pt idx="134">
                <c:v>0.43315806661079898</c:v>
              </c:pt>
              <c:pt idx="135">
                <c:v>0.43023016183397828</c:v>
              </c:pt>
              <c:pt idx="136">
                <c:v>0.42734157327893307</c:v>
              </c:pt>
              <c:pt idx="137">
                <c:v>0.42449151431344195</c:v>
              </c:pt>
              <c:pt idx="138">
                <c:v>0.42167921915132556</c:v>
              </c:pt>
              <c:pt idx="139">
                <c:v>0.41890394216645677</c:v>
              </c:pt>
              <c:pt idx="140">
                <c:v>0.41616495723368241</c:v>
              </c:pt>
              <c:pt idx="141">
                <c:v>0.41346155709543347</c:v>
              </c:pt>
              <c:pt idx="142">
                <c:v>0.41079305275286293</c:v>
              </c:pt>
              <c:pt idx="143">
                <c:v>0.40815877288040969</c:v>
              </c:pt>
              <c:pt idx="144">
                <c:v>0.40555806326274496</c:v>
              </c:pt>
              <c:pt idx="145">
                <c:v>0.4029902862531084</c:v>
              </c:pt>
              <c:pt idx="146">
                <c:v>0.40045482025209012</c:v>
              </c:pt>
              <c:pt idx="147">
                <c:v>0.39795105920596835</c:v>
              </c:pt>
              <c:pt idx="148">
                <c:v>0.39547841212374774</c:v>
              </c:pt>
              <c:pt idx="149">
                <c:v>0.3930363026120916</c:v>
              </c:pt>
              <c:pt idx="150">
                <c:v>0.39062416842737968</c:v>
              </c:pt>
              <c:pt idx="151">
                <c:v>0.38824146104416013</c:v>
              </c:pt>
              <c:pt idx="152">
                <c:v>0.38588764523929958</c:v>
              </c:pt>
              <c:pt idx="153">
                <c:v>0.38356219869116903</c:v>
              </c:pt>
              <c:pt idx="154">
                <c:v>0.38126461159323533</c:v>
              </c:pt>
              <c:pt idx="155">
                <c:v>0.3789943862814581</c:v>
              </c:pt>
              <c:pt idx="156">
                <c:v>0.37675103687491973</c:v>
              </c:pt>
              <c:pt idx="157">
                <c:v>0.37453408892914308</c:v>
              </c:pt>
              <c:pt idx="158">
                <c:v>0.37234307910157771</c:v>
              </c:pt>
              <c:pt idx="159">
                <c:v>0.37017755482875941</c:v>
              </c:pt>
              <c:pt idx="160">
                <c:v>0.3680370740146704</c:v>
              </c:pt>
              <c:pt idx="161">
                <c:v>0.36592120472984857</c:v>
              </c:pt>
              <c:pt idx="162">
                <c:v>0.36382952492081783</c:v>
              </c:pt>
              <c:pt idx="163">
                <c:v>0.36176162212942586</c:v>
              </c:pt>
              <c:pt idx="164">
                <c:v>0.35971709322170065</c:v>
              </c:pt>
              <c:pt idx="165">
                <c:v>0.35769554412584831</c:v>
              </c:pt>
              <c:pt idx="166">
                <c:v>0.3556965895790371</c:v>
              </c:pt>
              <c:pt idx="167">
                <c:v>0.3537198528826237</c:v>
              </c:pt>
              <c:pt idx="168">
                <c:v>0.35176496566549709</c:v>
              </c:pt>
              <c:pt idx="169">
                <c:v>0.34983156765522627</c:v>
              </c:pt>
              <c:pt idx="170">
                <c:v>0.34791930645671376</c:v>
              </c:pt>
              <c:pt idx="171">
                <c:v>0.34602783733806941</c:v>
              </c:pt>
              <c:pt idx="172">
                <c:v>0.34415682302343104</c:v>
              </c:pt>
              <c:pt idx="173">
                <c:v>0.34230593349247013</c:v>
              </c:pt>
              <c:pt idx="174">
                <c:v>0.34047484578633291</c:v>
              </c:pt>
              <c:pt idx="175">
                <c:v>0.33866324381977647</c:v>
              </c:pt>
              <c:pt idx="176">
                <c:v>0.33687081819927023</c:v>
              </c:pt>
              <c:pt idx="177">
                <c:v>0.33509726604684481</c:v>
              </c:pt>
              <c:pt idx="178">
                <c:v>0.33334229082947425</c:v>
              </c:pt>
              <c:pt idx="179">
                <c:v>0.33160560219379337</c:v>
              </c:pt>
              <c:pt idx="180">
                <c:v>0.32988691580595325</c:v>
              </c:pt>
              <c:pt idx="181">
                <c:v>0.32818595319643323</c:v>
              </c:pt>
              <c:pt idx="182">
                <c:v>0.32650244160962727</c:v>
              </c:pt>
              <c:pt idx="183">
                <c:v>0.32483611385803796</c:v>
              </c:pt>
              <c:pt idx="184">
                <c:v>0.32318670818091122</c:v>
              </c:pt>
              <c:pt idx="185">
                <c:v>0.3215539681071572</c:v>
              </c:pt>
              <c:pt idx="186">
                <c:v>0.31993764232240429</c:v>
              </c:pt>
              <c:pt idx="187">
                <c:v>0.31833748454004424</c:v>
              </c:pt>
              <c:pt idx="188">
                <c:v>0.31675325337612603</c:v>
              </c:pt>
              <c:pt idx="189">
                <c:v>0.31518471222796812</c:v>
              </c:pt>
              <c:pt idx="190">
                <c:v>0.313631629156359</c:v>
              </c:pt>
              <c:pt idx="191">
                <c:v>0.31209377677122385</c:v>
              </c:pt>
              <c:pt idx="192">
                <c:v>0.31057093212063774</c:v>
              </c:pt>
              <c:pt idx="193">
                <c:v>0.30906287658307313</c:v>
              </c:pt>
              <c:pt idx="194">
                <c:v>0.3075693957627712</c:v>
              </c:pt>
              <c:pt idx="195">
                <c:v>0.30609027938813227</c:v>
              </c:pt>
              <c:pt idx="196">
                <c:v>0.30462532121302399</c:v>
              </c:pt>
              <c:pt idx="197">
                <c:v>0.30317431892090974</c:v>
              </c:pt>
              <c:pt idx="198">
                <c:v>0.30173707403170458</c:v>
              </c:pt>
              <c:pt idx="199">
                <c:v>0.30031339181126832</c:v>
              </c:pt>
            </c:numLit>
          </c:yVal>
          <c:smooth val="0"/>
          <c:extLst>
            <c:ext xmlns:c16="http://schemas.microsoft.com/office/drawing/2014/chart" uri="{C3380CC4-5D6E-409C-BE32-E72D297353CC}">
              <c16:uniqueId val="{00000000-F2F2-4E07-A7F7-1EADAC563625}"/>
            </c:ext>
          </c:extLst>
        </c:ser>
        <c:dLbls>
          <c:showLegendKey val="0"/>
          <c:showVal val="0"/>
          <c:showCatName val="0"/>
          <c:showSerName val="0"/>
          <c:showPercent val="0"/>
          <c:showBubbleSize val="0"/>
        </c:dLbls>
        <c:axId val="655814992"/>
        <c:axId val="655821552"/>
      </c:scatterChart>
      <c:valAx>
        <c:axId val="65581499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BurnDuration[Days]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55821552"/>
        <c:crosses val="autoZero"/>
        <c:crossBetween val="midCat"/>
      </c:valAx>
      <c:valAx>
        <c:axId val="655821552"/>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Peak Power [W]</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5581499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BurnDuration vs Thrust Level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BurnDuration vs Thrust Level</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200"/>
              <c:pt idx="0">
                <c:v>50</c:v>
              </c:pt>
              <c:pt idx="1">
                <c:v>53.517587939698494</c:v>
              </c:pt>
              <c:pt idx="2">
                <c:v>57.035175879396988</c:v>
              </c:pt>
              <c:pt idx="3">
                <c:v>60.552763819095475</c:v>
              </c:pt>
              <c:pt idx="4">
                <c:v>64.070351758793976</c:v>
              </c:pt>
              <c:pt idx="5">
                <c:v>67.587939698492463</c:v>
              </c:pt>
              <c:pt idx="6">
                <c:v>71.105527638190949</c:v>
              </c:pt>
              <c:pt idx="7">
                <c:v>74.62311557788945</c:v>
              </c:pt>
              <c:pt idx="8">
                <c:v>78.140703517587937</c:v>
              </c:pt>
              <c:pt idx="9">
                <c:v>81.658291457286438</c:v>
              </c:pt>
              <c:pt idx="10">
                <c:v>85.175879396984925</c:v>
              </c:pt>
              <c:pt idx="11">
                <c:v>88.693467336683412</c:v>
              </c:pt>
              <c:pt idx="12">
                <c:v>92.211055276381913</c:v>
              </c:pt>
              <c:pt idx="13">
                <c:v>95.7286432160804</c:v>
              </c:pt>
              <c:pt idx="14">
                <c:v>99.246231155778901</c:v>
              </c:pt>
              <c:pt idx="15">
                <c:v>102.76381909547739</c:v>
              </c:pt>
              <c:pt idx="16">
                <c:v>106.28140703517587</c:v>
              </c:pt>
              <c:pt idx="17">
                <c:v>109.79899497487438</c:v>
              </c:pt>
              <c:pt idx="18">
                <c:v>113.31658291457286</c:v>
              </c:pt>
              <c:pt idx="19">
                <c:v>116.83417085427136</c:v>
              </c:pt>
              <c:pt idx="20">
                <c:v>120.35175879396985</c:v>
              </c:pt>
              <c:pt idx="21">
                <c:v>123.86934673366835</c:v>
              </c:pt>
              <c:pt idx="22">
                <c:v>127.38693467336684</c:v>
              </c:pt>
              <c:pt idx="23">
                <c:v>130.90452261306532</c:v>
              </c:pt>
              <c:pt idx="24">
                <c:v>134.42211055276383</c:v>
              </c:pt>
              <c:pt idx="25">
                <c:v>137.93969849246233</c:v>
              </c:pt>
              <c:pt idx="26">
                <c:v>141.4572864321608</c:v>
              </c:pt>
              <c:pt idx="27">
                <c:v>144.9748743718593</c:v>
              </c:pt>
              <c:pt idx="28">
                <c:v>148.4924623115578</c:v>
              </c:pt>
              <c:pt idx="29">
                <c:v>152.01005025125627</c:v>
              </c:pt>
              <c:pt idx="30">
                <c:v>155.52763819095478</c:v>
              </c:pt>
              <c:pt idx="31">
                <c:v>159.04522613065328</c:v>
              </c:pt>
              <c:pt idx="32">
                <c:v>162.56281407035175</c:v>
              </c:pt>
              <c:pt idx="33">
                <c:v>166.08040201005025</c:v>
              </c:pt>
              <c:pt idx="34">
                <c:v>169.59798994974875</c:v>
              </c:pt>
              <c:pt idx="35">
                <c:v>173.11557788944725</c:v>
              </c:pt>
              <c:pt idx="36">
                <c:v>176.63316582914572</c:v>
              </c:pt>
              <c:pt idx="37">
                <c:v>180.15075376884423</c:v>
              </c:pt>
              <c:pt idx="38">
                <c:v>183.66834170854273</c:v>
              </c:pt>
              <c:pt idx="39">
                <c:v>187.1859296482412</c:v>
              </c:pt>
              <c:pt idx="40">
                <c:v>190.7035175879397</c:v>
              </c:pt>
              <c:pt idx="41">
                <c:v>194.2211055276382</c:v>
              </c:pt>
              <c:pt idx="42">
                <c:v>197.7386934673367</c:v>
              </c:pt>
              <c:pt idx="43">
                <c:v>201.25628140703517</c:v>
              </c:pt>
              <c:pt idx="44">
                <c:v>204.77386934673368</c:v>
              </c:pt>
              <c:pt idx="45">
                <c:v>208.29145728643218</c:v>
              </c:pt>
              <c:pt idx="46">
                <c:v>211.80904522613065</c:v>
              </c:pt>
              <c:pt idx="47">
                <c:v>215.32663316582915</c:v>
              </c:pt>
              <c:pt idx="48">
                <c:v>218.84422110552765</c:v>
              </c:pt>
              <c:pt idx="49">
                <c:v>222.36180904522612</c:v>
              </c:pt>
              <c:pt idx="50">
                <c:v>225.87939698492463</c:v>
              </c:pt>
              <c:pt idx="51">
                <c:v>229.39698492462313</c:v>
              </c:pt>
              <c:pt idx="52">
                <c:v>232.91457286432163</c:v>
              </c:pt>
              <c:pt idx="53">
                <c:v>236.4321608040201</c:v>
              </c:pt>
              <c:pt idx="54">
                <c:v>239.9497487437186</c:v>
              </c:pt>
              <c:pt idx="55">
                <c:v>243.4673366834171</c:v>
              </c:pt>
              <c:pt idx="56">
                <c:v>246.98492462311557</c:v>
              </c:pt>
              <c:pt idx="57">
                <c:v>250.50251256281408</c:v>
              </c:pt>
              <c:pt idx="58">
                <c:v>254.02010050251258</c:v>
              </c:pt>
              <c:pt idx="59">
                <c:v>257.53768844221105</c:v>
              </c:pt>
              <c:pt idx="60">
                <c:v>261.05527638190955</c:v>
              </c:pt>
              <c:pt idx="61">
                <c:v>264.57286432160805</c:v>
              </c:pt>
              <c:pt idx="62">
                <c:v>268.09045226130655</c:v>
              </c:pt>
              <c:pt idx="63">
                <c:v>271.60804020100505</c:v>
              </c:pt>
              <c:pt idx="64">
                <c:v>275.1256281407035</c:v>
              </c:pt>
              <c:pt idx="65">
                <c:v>278.643216080402</c:v>
              </c:pt>
              <c:pt idx="66">
                <c:v>282.1608040201005</c:v>
              </c:pt>
              <c:pt idx="67">
                <c:v>285.678391959799</c:v>
              </c:pt>
              <c:pt idx="68">
                <c:v>289.1959798994975</c:v>
              </c:pt>
              <c:pt idx="69">
                <c:v>292.713567839196</c:v>
              </c:pt>
              <c:pt idx="70">
                <c:v>296.2311557788945</c:v>
              </c:pt>
              <c:pt idx="71">
                <c:v>299.74874371859295</c:v>
              </c:pt>
              <c:pt idx="72">
                <c:v>303.26633165829145</c:v>
              </c:pt>
              <c:pt idx="73">
                <c:v>306.78391959798995</c:v>
              </c:pt>
              <c:pt idx="74">
                <c:v>310.30150753768845</c:v>
              </c:pt>
              <c:pt idx="75">
                <c:v>313.81909547738695</c:v>
              </c:pt>
              <c:pt idx="76">
                <c:v>317.33668341708545</c:v>
              </c:pt>
              <c:pt idx="77">
                <c:v>320.85427135678395</c:v>
              </c:pt>
              <c:pt idx="78">
                <c:v>324.3718592964824</c:v>
              </c:pt>
              <c:pt idx="79">
                <c:v>327.8894472361809</c:v>
              </c:pt>
              <c:pt idx="80">
                <c:v>331.4070351758794</c:v>
              </c:pt>
              <c:pt idx="81">
                <c:v>334.9246231155779</c:v>
              </c:pt>
              <c:pt idx="82">
                <c:v>338.4422110552764</c:v>
              </c:pt>
              <c:pt idx="83">
                <c:v>341.9597989949749</c:v>
              </c:pt>
              <c:pt idx="84">
                <c:v>345.4773869346734</c:v>
              </c:pt>
              <c:pt idx="85">
                <c:v>348.99497487437185</c:v>
              </c:pt>
              <c:pt idx="86">
                <c:v>352.51256281407035</c:v>
              </c:pt>
              <c:pt idx="87">
                <c:v>356.03015075376885</c:v>
              </c:pt>
              <c:pt idx="88">
                <c:v>359.54773869346735</c:v>
              </c:pt>
              <c:pt idx="89">
                <c:v>363.06532663316585</c:v>
              </c:pt>
              <c:pt idx="90">
                <c:v>366.58291457286435</c:v>
              </c:pt>
              <c:pt idx="91">
                <c:v>370.1005025125628</c:v>
              </c:pt>
              <c:pt idx="92">
                <c:v>373.6180904522613</c:v>
              </c:pt>
              <c:pt idx="93">
                <c:v>377.1356783919598</c:v>
              </c:pt>
              <c:pt idx="94">
                <c:v>380.6532663316583</c:v>
              </c:pt>
              <c:pt idx="95">
                <c:v>384.1708542713568</c:v>
              </c:pt>
              <c:pt idx="96">
                <c:v>387.6884422110553</c:v>
              </c:pt>
              <c:pt idx="97">
                <c:v>391.2060301507538</c:v>
              </c:pt>
              <c:pt idx="98">
                <c:v>394.72361809045225</c:v>
              </c:pt>
              <c:pt idx="99">
                <c:v>398.24120603015075</c:v>
              </c:pt>
              <c:pt idx="100">
                <c:v>401.75879396984925</c:v>
              </c:pt>
              <c:pt idx="101">
                <c:v>405.27638190954775</c:v>
              </c:pt>
              <c:pt idx="102">
                <c:v>408.79396984924625</c:v>
              </c:pt>
              <c:pt idx="103">
                <c:v>412.31155778894475</c:v>
              </c:pt>
              <c:pt idx="104">
                <c:v>415.82914572864325</c:v>
              </c:pt>
              <c:pt idx="105">
                <c:v>419.3467336683417</c:v>
              </c:pt>
              <c:pt idx="106">
                <c:v>422.8643216080402</c:v>
              </c:pt>
              <c:pt idx="107">
                <c:v>426.3819095477387</c:v>
              </c:pt>
              <c:pt idx="108">
                <c:v>429.8994974874372</c:v>
              </c:pt>
              <c:pt idx="109">
                <c:v>433.4170854271357</c:v>
              </c:pt>
              <c:pt idx="110">
                <c:v>436.9346733668342</c:v>
              </c:pt>
              <c:pt idx="111">
                <c:v>440.45226130653271</c:v>
              </c:pt>
              <c:pt idx="112">
                <c:v>443.96984924623115</c:v>
              </c:pt>
              <c:pt idx="113">
                <c:v>447.48743718592965</c:v>
              </c:pt>
              <c:pt idx="114">
                <c:v>451.00502512562815</c:v>
              </c:pt>
              <c:pt idx="115">
                <c:v>454.52261306532665</c:v>
              </c:pt>
              <c:pt idx="116">
                <c:v>458.04020100502515</c:v>
              </c:pt>
              <c:pt idx="117">
                <c:v>461.55778894472365</c:v>
              </c:pt>
              <c:pt idx="118">
                <c:v>465.0753768844221</c:v>
              </c:pt>
              <c:pt idx="119">
                <c:v>468.5929648241206</c:v>
              </c:pt>
              <c:pt idx="120">
                <c:v>472.1105527638191</c:v>
              </c:pt>
              <c:pt idx="121">
                <c:v>475.6281407035176</c:v>
              </c:pt>
              <c:pt idx="122">
                <c:v>479.1457286432161</c:v>
              </c:pt>
              <c:pt idx="123">
                <c:v>482.6633165829146</c:v>
              </c:pt>
              <c:pt idx="124">
                <c:v>486.1809045226131</c:v>
              </c:pt>
              <c:pt idx="125">
                <c:v>489.69849246231155</c:v>
              </c:pt>
              <c:pt idx="126">
                <c:v>493.21608040201005</c:v>
              </c:pt>
              <c:pt idx="127">
                <c:v>496.73366834170855</c:v>
              </c:pt>
              <c:pt idx="128">
                <c:v>500.25125628140705</c:v>
              </c:pt>
              <c:pt idx="129">
                <c:v>503.76884422110555</c:v>
              </c:pt>
              <c:pt idx="130">
                <c:v>507.28643216080405</c:v>
              </c:pt>
              <c:pt idx="131">
                <c:v>510.80402010050256</c:v>
              </c:pt>
              <c:pt idx="132">
                <c:v>514.321608040201</c:v>
              </c:pt>
              <c:pt idx="133">
                <c:v>517.8391959798995</c:v>
              </c:pt>
              <c:pt idx="134">
                <c:v>521.356783919598</c:v>
              </c:pt>
              <c:pt idx="135">
                <c:v>524.8743718592965</c:v>
              </c:pt>
              <c:pt idx="136">
                <c:v>528.391959798995</c:v>
              </c:pt>
              <c:pt idx="137">
                <c:v>531.9095477386935</c:v>
              </c:pt>
              <c:pt idx="138">
                <c:v>535.42713567839201</c:v>
              </c:pt>
              <c:pt idx="139">
                <c:v>538.94472361809051</c:v>
              </c:pt>
              <c:pt idx="140">
                <c:v>542.46231155778901</c:v>
              </c:pt>
              <c:pt idx="141">
                <c:v>545.97989949748751</c:v>
              </c:pt>
              <c:pt idx="142">
                <c:v>549.4974874371859</c:v>
              </c:pt>
              <c:pt idx="143">
                <c:v>553.0150753768844</c:v>
              </c:pt>
              <c:pt idx="144">
                <c:v>556.5326633165829</c:v>
              </c:pt>
              <c:pt idx="145">
                <c:v>560.0502512562814</c:v>
              </c:pt>
              <c:pt idx="146">
                <c:v>563.5678391959799</c:v>
              </c:pt>
              <c:pt idx="147">
                <c:v>567.0854271356784</c:v>
              </c:pt>
              <c:pt idx="148">
                <c:v>570.6030150753769</c:v>
              </c:pt>
              <c:pt idx="149">
                <c:v>574.1206030150754</c:v>
              </c:pt>
              <c:pt idx="150">
                <c:v>577.6381909547739</c:v>
              </c:pt>
              <c:pt idx="151">
                <c:v>581.15577889447241</c:v>
              </c:pt>
              <c:pt idx="152">
                <c:v>584.67336683417091</c:v>
              </c:pt>
              <c:pt idx="153">
                <c:v>588.19095477386941</c:v>
              </c:pt>
              <c:pt idx="154">
                <c:v>591.70854271356791</c:v>
              </c:pt>
              <c:pt idx="155">
                <c:v>595.2261306532663</c:v>
              </c:pt>
              <c:pt idx="156">
                <c:v>598.7437185929648</c:v>
              </c:pt>
              <c:pt idx="157">
                <c:v>602.2613065326633</c:v>
              </c:pt>
              <c:pt idx="158">
                <c:v>605.7788944723618</c:v>
              </c:pt>
              <c:pt idx="159">
                <c:v>609.2964824120603</c:v>
              </c:pt>
              <c:pt idx="160">
                <c:v>612.8140703517588</c:v>
              </c:pt>
              <c:pt idx="161">
                <c:v>616.3316582914573</c:v>
              </c:pt>
              <c:pt idx="162">
                <c:v>619.8492462311558</c:v>
              </c:pt>
              <c:pt idx="163">
                <c:v>623.3668341708543</c:v>
              </c:pt>
              <c:pt idx="164">
                <c:v>626.8844221105528</c:v>
              </c:pt>
              <c:pt idx="165">
                <c:v>630.40201005025131</c:v>
              </c:pt>
              <c:pt idx="166">
                <c:v>633.91959798994981</c:v>
              </c:pt>
              <c:pt idx="167">
                <c:v>637.43718592964831</c:v>
              </c:pt>
              <c:pt idx="168">
                <c:v>640.95477386934681</c:v>
              </c:pt>
              <c:pt idx="169">
                <c:v>644.4723618090452</c:v>
              </c:pt>
              <c:pt idx="170">
                <c:v>647.9899497487437</c:v>
              </c:pt>
              <c:pt idx="171">
                <c:v>651.5075376884422</c:v>
              </c:pt>
              <c:pt idx="172">
                <c:v>655.0251256281407</c:v>
              </c:pt>
              <c:pt idx="173">
                <c:v>658.5427135678392</c:v>
              </c:pt>
              <c:pt idx="174">
                <c:v>662.0603015075377</c:v>
              </c:pt>
              <c:pt idx="175">
                <c:v>665.5778894472362</c:v>
              </c:pt>
              <c:pt idx="176">
                <c:v>669.0954773869347</c:v>
              </c:pt>
              <c:pt idx="177">
                <c:v>672.6130653266332</c:v>
              </c:pt>
              <c:pt idx="178">
                <c:v>676.13065326633171</c:v>
              </c:pt>
              <c:pt idx="179">
                <c:v>679.64824120603021</c:v>
              </c:pt>
              <c:pt idx="180">
                <c:v>683.16582914572871</c:v>
              </c:pt>
              <c:pt idx="181">
                <c:v>686.68341708542721</c:v>
              </c:pt>
              <c:pt idx="182">
                <c:v>690.2010050251256</c:v>
              </c:pt>
              <c:pt idx="183">
                <c:v>693.7185929648241</c:v>
              </c:pt>
              <c:pt idx="184">
                <c:v>697.2361809045226</c:v>
              </c:pt>
              <c:pt idx="185">
                <c:v>700.7537688442211</c:v>
              </c:pt>
              <c:pt idx="186">
                <c:v>704.2713567839196</c:v>
              </c:pt>
              <c:pt idx="187">
                <c:v>707.7889447236181</c:v>
              </c:pt>
              <c:pt idx="188">
                <c:v>711.3065326633166</c:v>
              </c:pt>
              <c:pt idx="189">
                <c:v>714.8241206030151</c:v>
              </c:pt>
              <c:pt idx="190">
                <c:v>718.3417085427136</c:v>
              </c:pt>
              <c:pt idx="191">
                <c:v>721.85929648241211</c:v>
              </c:pt>
              <c:pt idx="192">
                <c:v>725.37688442211061</c:v>
              </c:pt>
              <c:pt idx="193">
                <c:v>728.89447236180911</c:v>
              </c:pt>
              <c:pt idx="194">
                <c:v>732.41206030150761</c:v>
              </c:pt>
              <c:pt idx="195">
                <c:v>735.92964824120611</c:v>
              </c:pt>
              <c:pt idx="196">
                <c:v>739.4472361809045</c:v>
              </c:pt>
              <c:pt idx="197">
                <c:v>742.964824120603</c:v>
              </c:pt>
              <c:pt idx="198">
                <c:v>746.4824120603015</c:v>
              </c:pt>
              <c:pt idx="199">
                <c:v>750</c:v>
              </c:pt>
            </c:numLit>
          </c:xVal>
          <c:yVal>
            <c:numLit>
              <c:formatCode>General</c:formatCode>
              <c:ptCount val="200"/>
              <c:pt idx="0">
                <c:v>3.1790279616967962E-4</c:v>
              </c:pt>
              <c:pt idx="1">
                <c:v>2.9509985951283238E-4</c:v>
              </c:pt>
              <c:pt idx="2">
                <c:v>2.7534925729052735E-4</c:v>
              </c:pt>
              <c:pt idx="3">
                <c:v>2.580765697328156E-4</c:v>
              </c:pt>
              <c:pt idx="4">
                <c:v>2.4284300289532907E-4</c:v>
              </c:pt>
              <c:pt idx="5">
                <c:v>2.2930759157819208E-4</c:v>
              </c:pt>
              <c:pt idx="6">
                <c:v>2.1720137514929751E-4</c:v>
              </c:pt>
              <c:pt idx="7">
                <c:v>2.0630934342204133E-4</c:v>
              </c:pt>
              <c:pt idx="8">
                <c:v>1.9645755531052256E-4</c:v>
              </c:pt>
              <c:pt idx="9">
                <c:v>1.875037799759139E-4</c:v>
              </c:pt>
              <c:pt idx="10">
                <c:v>1.7933058565882629E-4</c:v>
              </c:pt>
              <c:pt idx="11">
                <c:v>1.7184016053914909E-4</c:v>
              </c:pt>
              <c:pt idx="12">
                <c:v>1.6495037951447692E-4</c:v>
              </c:pt>
              <c:pt idx="13">
                <c:v>1.5859178069858976E-4</c:v>
              </c:pt>
              <c:pt idx="14">
                <c:v>1.5270521527284311E-4</c:v>
              </c:pt>
              <c:pt idx="15">
                <c:v>1.4724000199864838E-4</c:v>
              </c:pt>
              <c:pt idx="16">
                <c:v>1.4215246432926567E-4</c:v>
              </c:pt>
              <c:pt idx="17">
                <c:v>1.3740476067274486E-4</c:v>
              </c:pt>
              <c:pt idx="18">
                <c:v>1.329639414850331E-4</c:v>
              </c:pt>
              <c:pt idx="19">
                <c:v>1.2880118348297626E-4</c:v>
              </c:pt>
              <c:pt idx="20">
                <c:v>1.2489116333938899E-4</c:v>
              </c:pt>
              <c:pt idx="21">
                <c:v>1.2121154209364127E-4</c:v>
              </c:pt>
              <c:pt idx="22">
                <c:v>1.1774253809746308E-4</c:v>
              </c:pt>
              <c:pt idx="23">
                <c:v>1.1446657125267544E-4</c:v>
              </c:pt>
              <c:pt idx="24">
                <c:v>1.1136796503175715E-4</c:v>
              </c:pt>
              <c:pt idx="25">
                <c:v>1.0843269562057528E-4</c:v>
              </c:pt>
              <c:pt idx="26">
                <c:v>1.056481797127078E-4</c:v>
              </c:pt>
              <c:pt idx="27">
                <c:v>1.0300309418139106E-4</c:v>
              </c:pt>
              <c:pt idx="28">
                <c:v>1.0048722217876816E-4</c:v>
              </c:pt>
              <c:pt idx="29">
                <c:v>9.8091321251725112E-5</c:v>
              </c:pt>
              <c:pt idx="30">
                <c:v>9.5807009885319694E-5</c:v>
              </c:pt>
              <c:pt idx="31">
                <c:v>9.3626669538226173E-5</c:v>
              </c:pt>
              <c:pt idx="32">
                <c:v>9.1543359757177893E-5</c:v>
              </c:pt>
              <c:pt idx="33">
                <c:v>8.9550744377584523E-5</c:v>
              </c:pt>
              <c:pt idx="34">
                <c:v>8.7643027157125874E-5</c:v>
              </c:pt>
              <c:pt idx="35">
                <c:v>8.5814895464996575E-5</c:v>
              </c:pt>
              <c:pt idx="36">
                <c:v>8.4061470874613871E-5</c:v>
              </c:pt>
              <c:pt idx="37">
                <c:v>8.2378265692168045E-5</c:v>
              </c:pt>
              <c:pt idx="38">
                <c:v>8.076114460535347E-5</c:v>
              </c:pt>
              <c:pt idx="39">
                <c:v>7.9206290762246013E-5</c:v>
              </c:pt>
              <c:pt idx="40">
                <c:v>7.7710175694564799E-5</c:v>
              </c:pt>
              <c:pt idx="41">
                <c:v>7.6269532586429898E-5</c:v>
              </c:pt>
              <c:pt idx="42">
                <c:v>7.4881332462370463E-5</c:v>
              </c:pt>
              <c:pt idx="43">
                <c:v>7.3542762929294794E-5</c:v>
              </c:pt>
              <c:pt idx="44">
                <c:v>7.2251209158453615E-5</c:v>
              </c:pt>
              <c:pt idx="45">
                <c:v>7.1004236836779897E-5</c:v>
              </c:pt>
              <c:pt idx="46">
                <c:v>6.979957685371665E-5</c:v>
              </c:pt>
              <c:pt idx="47">
                <c:v>6.8635111520861538E-5</c:v>
              </c:pt>
              <c:pt idx="48">
                <c:v>6.7508862148361523E-5</c:v>
              </c:pt>
              <c:pt idx="49">
                <c:v>6.6418977824731396E-5</c:v>
              </c:pt>
              <c:pt idx="50">
                <c:v>6.5363725266256873E-5</c:v>
              </c:pt>
              <c:pt idx="51">
                <c:v>6.4341479618890284E-5</c:v>
              </c:pt>
              <c:pt idx="52">
                <c:v>6.3350716109968872E-5</c:v>
              </c:pt>
              <c:pt idx="53">
                <c:v>6.2390002459543532E-5</c:v>
              </c:pt>
              <c:pt idx="54">
                <c:v>6.1457991971885728E-5</c:v>
              </c:pt>
              <c:pt idx="55">
                <c:v>6.0553417237094105E-5</c:v>
              </c:pt>
              <c:pt idx="56">
                <c:v>5.9675084380853522E-5</c:v>
              </c:pt>
              <c:pt idx="57">
                <c:v>5.8821867807485517E-5</c:v>
              </c:pt>
              <c:pt idx="58">
                <c:v>5.7992705387615766E-5</c:v>
              </c:pt>
              <c:pt idx="59">
                <c:v>5.7186594047196069E-5</c:v>
              </c:pt>
              <c:pt idx="60">
                <c:v>5.6402585719364475E-5</c:v>
              </c:pt>
              <c:pt idx="61">
                <c:v>5.5639783624793419E-5</c:v>
              </c:pt>
              <c:pt idx="62">
                <c:v>5.4897338849842987E-5</c:v>
              </c:pt>
              <c:pt idx="63">
                <c:v>5.4174447195068729E-5</c:v>
              </c:pt>
              <c:pt idx="64">
                <c:v>5.3470346269487863E-5</c:v>
              </c:pt>
              <c:pt idx="65">
                <c:v>5.2784312808531371E-5</c:v>
              </c:pt>
              <c:pt idx="66">
                <c:v>5.2115660195847763E-5</c:v>
              </c:pt>
              <c:pt idx="67">
                <c:v>5.1463736171107803E-5</c:v>
              </c:pt>
              <c:pt idx="68">
                <c:v>5.082792070772462E-5</c:v>
              </c:pt>
              <c:pt idx="69">
                <c:v>5.0207624045973868E-5</c:v>
              </c:pt>
              <c:pt idx="70">
                <c:v>4.9602284868398548E-5</c:v>
              </c:pt>
              <c:pt idx="71">
                <c:v>4.9011368605633222E-5</c:v>
              </c:pt>
              <c:pt idx="72">
                <c:v>4.8434365861899564E-5</c:v>
              </c:pt>
              <c:pt idx="73">
                <c:v>4.7870790950426473E-5</c:v>
              </c:pt>
              <c:pt idx="74">
                <c:v>4.7320180529943324E-5</c:v>
              </c:pt>
              <c:pt idx="75">
                <c:v>4.6782092334202208E-5</c:v>
              </c:pt>
              <c:pt idx="76">
                <c:v>4.6256103987206377E-5</c:v>
              </c:pt>
              <c:pt idx="77">
                <c:v>4.5741811897475324E-5</c:v>
              </c:pt>
              <c:pt idx="78">
                <c:v>4.5238830225262436E-5</c:v>
              </c:pt>
              <c:pt idx="79">
                <c:v>4.4746789917170921E-5</c:v>
              </c:pt>
              <c:pt idx="80">
                <c:v>4.4265337803092055E-5</c:v>
              </c:pt>
              <c:pt idx="81">
                <c:v>4.3794135750821494E-5</c:v>
              </c:pt>
              <c:pt idx="82">
                <c:v>4.3332859874101472E-5</c:v>
              </c:pt>
              <c:pt idx="83">
                <c:v>4.2881199790190453E-5</c:v>
              </c:pt>
              <c:pt idx="84">
                <c:v>4.2438857923384226E-5</c:v>
              </c:pt>
              <c:pt idx="85">
                <c:v>4.2005548851203996E-5</c:v>
              </c:pt>
              <c:pt idx="86">
                <c:v>4.1580998690233144E-5</c:v>
              </c:pt>
              <c:pt idx="87">
                <c:v>4.1164944518825187E-5</c:v>
              </c:pt>
              <c:pt idx="88">
                <c:v>4.0757133834126489E-5</c:v>
              </c:pt>
              <c:pt idx="89">
                <c:v>4.0357324041056927E-5</c:v>
              </c:pt>
              <c:pt idx="90">
                <c:v>3.9965281971075958E-5</c:v>
              </c:pt>
              <c:pt idx="91">
                <c:v>3.9580783428727602E-5</c:v>
              </c:pt>
              <c:pt idx="92">
                <c:v>3.9203612764111747E-5</c:v>
              </c:pt>
              <c:pt idx="93">
                <c:v>3.8833562469568628E-5</c:v>
              </c:pt>
              <c:pt idx="94">
                <c:v>3.8470432798991425E-5</c:v>
              </c:pt>
              <c:pt idx="95">
                <c:v>3.8114031408299777E-5</c:v>
              </c:pt>
              <c:pt idx="96">
                <c:v>3.7764173015714344E-5</c:v>
              </c:pt>
              <c:pt idx="97">
                <c:v>3.7420679080571802E-5</c:v>
              </c:pt>
              <c:pt idx="98">
                <c:v>3.7083377499510225E-5</c:v>
              </c:pt>
              <c:pt idx="99">
                <c:v>3.6752102318938976E-5</c:v>
              </c:pt>
              <c:pt idx="100">
                <c:v>3.6426693462783514E-5</c:v>
              </c:pt>
              <c:pt idx="101">
                <c:v>3.6106996474566764E-5</c:v>
              </c:pt>
              <c:pt idx="102">
                <c:v>3.5792862272954121E-5</c:v>
              </c:pt>
              <c:pt idx="103">
                <c:v>3.5484146919948918E-5</c:v>
              </c:pt>
              <c:pt idx="104">
                <c:v>3.5180711400981335E-5</c:v>
              </c:pt>
              <c:pt idx="105">
                <c:v>3.4882421416184916E-5</c:v>
              </c:pt>
              <c:pt idx="106">
                <c:v>3.4589147182201922E-5</c:v>
              </c:pt>
              <c:pt idx="107">
                <c:v>3.4300763243903389E-5</c:v>
              </c:pt>
              <c:pt idx="108">
                <c:v>3.4017148295449993E-5</c:v>
              </c:pt>
              <c:pt idx="109">
                <c:v>3.3738185010157288E-5</c:v>
              </c:pt>
              <c:pt idx="110">
                <c:v>3.3463759878664204E-5</c:v>
              </c:pt>
              <c:pt idx="111">
                <c:v>3.319376305493588E-5</c:v>
              </c:pt>
              <c:pt idx="112">
                <c:v>3.292808820966175E-5</c:v>
              </c:pt>
              <c:pt idx="113">
                <c:v>3.2666632390637972E-5</c:v>
              </c:pt>
              <c:pt idx="114">
                <c:v>3.2409295889748983E-5</c:v>
              </c:pt>
              <c:pt idx="115">
                <c:v>3.2155982116187177E-5</c:v>
              </c:pt>
              <c:pt idx="116">
                <c:v>3.1906597475572051E-5</c:v>
              </c:pt>
              <c:pt idx="117">
                <c:v>3.1661051254650874E-5</c:v>
              </c:pt>
              <c:pt idx="118">
                <c:v>3.1419255511282798E-5</c:v>
              </c:pt>
              <c:pt idx="119">
                <c:v>3.1181124969425709E-5</c:v>
              </c:pt>
              <c:pt idx="120">
                <c:v>3.0946576918862738E-5</c:v>
              </c:pt>
              <c:pt idx="121">
                <c:v>3.0715531119420599E-5</c:v>
              </c:pt>
              <c:pt idx="122">
                <c:v>3.0487909709446653E-5</c:v>
              </c:pt>
              <c:pt idx="123">
                <c:v>3.026363711832555E-5</c:v>
              </c:pt>
              <c:pt idx="124">
                <c:v>3.0042639982828937E-5</c:v>
              </c:pt>
              <c:pt idx="125">
                <c:v>2.9824847067103561E-5</c:v>
              </c:pt>
              <c:pt idx="126">
                <c:v>2.9610189186114751E-5</c:v>
              </c:pt>
              <c:pt idx="127">
                <c:v>2.9398599132372107E-5</c:v>
              </c:pt>
              <c:pt idx="128">
                <c:v>2.919001160577465E-5</c:v>
              </c:pt>
              <c:pt idx="129">
                <c:v>2.8984363146421465E-5</c:v>
              </c:pt>
              <c:pt idx="130">
                <c:v>2.8781592070242569E-5</c:v>
              </c:pt>
              <c:pt idx="131">
                <c:v>2.8581638407313036E-5</c:v>
              </c:pt>
              <c:pt idx="132">
                <c:v>2.8384443842720557E-5</c:v>
              </c:pt>
              <c:pt idx="133">
                <c:v>2.8189951659864187E-5</c:v>
              </c:pt>
              <c:pt idx="134">
                <c:v>2.7998106686068242E-5</c:v>
              </c:pt>
              <c:pt idx="135">
                <c:v>2.7808855240402032E-5</c:v>
              </c:pt>
              <c:pt idx="136">
                <c:v>2.7622145083601516E-5</c:v>
              </c:pt>
              <c:pt idx="137">
                <c:v>2.7437925369994971E-5</c:v>
              </c:pt>
              <c:pt idx="138">
                <c:v>2.725614660133961E-5</c:v>
              </c:pt>
              <c:pt idx="139">
                <c:v>2.7076760582481131E-5</c:v>
              </c:pt>
              <c:pt idx="140">
                <c:v>2.6899720378752792E-5</c:v>
              </c:pt>
              <c:pt idx="141">
                <c:v>2.6724980275034872E-5</c:v>
              </c:pt>
              <c:pt idx="142">
                <c:v>2.6552495736399562E-5</c:v>
              </c:pt>
              <c:pt idx="143">
                <c:v>2.638222337027004E-5</c:v>
              </c:pt>
              <c:pt idx="144">
                <c:v>2.6214120890026295E-5</c:v>
              </c:pt>
              <c:pt idx="145">
                <c:v>2.6048147079993491E-5</c:v>
              </c:pt>
              <c:pt idx="146">
                <c:v>2.5884261761751934E-5</c:v>
              </c:pt>
              <c:pt idx="147">
                <c:v>2.5722425761711039E-5</c:v>
              </c:pt>
              <c:pt idx="148">
                <c:v>2.5562600879892064E-5</c:v>
              </c:pt>
              <c:pt idx="149">
                <c:v>2.5404749859867433E-5</c:v>
              </c:pt>
              <c:pt idx="150">
                <c:v>2.5248836359807053E-5</c:v>
              </c:pt>
              <c:pt idx="151">
                <c:v>2.5094824924584249E-5</c:v>
              </c:pt>
              <c:pt idx="152">
                <c:v>2.4942680958896421E-5</c:v>
              </c:pt>
              <c:pt idx="153">
                <c:v>2.4792370701357552E-5</c:v>
              </c:pt>
              <c:pt idx="154">
                <c:v>2.4643861199521856E-5</c:v>
              </c:pt>
              <c:pt idx="155">
                <c:v>2.4497120285799797E-5</c:v>
              </c:pt>
              <c:pt idx="156">
                <c:v>2.4352116554229389E-5</c:v>
              </c:pt>
              <c:pt idx="157">
                <c:v>2.4208819338067681E-5</c:v>
              </c:pt>
              <c:pt idx="158">
                <c:v>2.406719868816872E-5</c:v>
              </c:pt>
              <c:pt idx="159">
                <c:v>2.3927225352116054E-5</c:v>
              </c:pt>
              <c:pt idx="160">
                <c:v>2.3788870754079223E-5</c:v>
              </c:pt>
              <c:pt idx="161">
                <c:v>2.3652106975365056E-5</c:v>
              </c:pt>
              <c:pt idx="162">
                <c:v>2.3516906735636038E-5</c:v>
              </c:pt>
              <c:pt idx="163">
                <c:v>2.3383243374769132E-5</c:v>
              </c:pt>
              <c:pt idx="164">
                <c:v>2.3251090835329816E-5</c:v>
              </c:pt>
              <c:pt idx="165">
                <c:v>2.3120423645637019E-5</c:v>
              </c:pt>
              <c:pt idx="166">
                <c:v>2.2991216903395951E-5</c:v>
              </c:pt>
              <c:pt idx="167">
                <c:v>2.2863446259876625E-5</c:v>
              </c:pt>
              <c:pt idx="168">
                <c:v>2.273708790461709E-5</c:v>
              </c:pt>
              <c:pt idx="169">
                <c:v>2.2612118550631046E-5</c:v>
              </c:pt>
              <c:pt idx="170">
                <c:v>2.2488515420100662E-5</c:v>
              </c:pt>
              <c:pt idx="171">
                <c:v>2.2366256230536059E-5</c:v>
              </c:pt>
              <c:pt idx="172">
                <c:v>2.2245319181383805E-5</c:v>
              </c:pt>
              <c:pt idx="173">
                <c:v>2.2125682941067555E-5</c:v>
              </c:pt>
              <c:pt idx="174">
                <c:v>2.2007326634444642E-5</c:v>
              </c:pt>
              <c:pt idx="175">
                <c:v>2.1890229830663048E-5</c:v>
              </c:pt>
              <c:pt idx="176">
                <c:v>2.1774372531404049E-5</c:v>
              </c:pt>
              <c:pt idx="177">
                <c:v>2.1659735159496281E-5</c:v>
              </c:pt>
              <c:pt idx="178">
                <c:v>2.1546298547887485E-5</c:v>
              </c:pt>
              <c:pt idx="179">
                <c:v>2.1434043928961121E-5</c:v>
              </c:pt>
              <c:pt idx="180">
                <c:v>2.132295292418508E-5</c:v>
              </c:pt>
              <c:pt idx="181">
                <c:v>2.1213007534080763E-5</c:v>
              </c:pt>
              <c:pt idx="182">
                <c:v>2.110419012850079E-5</c:v>
              </c:pt>
              <c:pt idx="183">
                <c:v>2.0996483437204487E-5</c:v>
              </c:pt>
              <c:pt idx="184">
                <c:v>2.0889870540720452E-5</c:v>
              </c:pt>
              <c:pt idx="185">
                <c:v>2.0784334861486158E-5</c:v>
              </c:pt>
              <c:pt idx="186">
                <c:v>2.0679860155254691E-5</c:v>
              </c:pt>
              <c:pt idx="187">
                <c:v>2.0576430502759462E-5</c:v>
              </c:pt>
              <c:pt idx="188">
                <c:v>2.0474030301627734E-5</c:v>
              </c:pt>
              <c:pt idx="189">
                <c:v>2.0372644258534434E-5</c:v>
              </c:pt>
              <c:pt idx="190">
                <c:v>2.0272257381587941E-5</c:v>
              </c:pt>
              <c:pt idx="191">
                <c:v>2.0172854972939908E-5</c:v>
              </c:pt>
              <c:pt idx="192">
                <c:v>2.0074422621611387E-5</c:v>
              </c:pt>
              <c:pt idx="193">
                <c:v>1.9976946196528003E-5</c:v>
              </c:pt>
              <c:pt idx="194">
                <c:v>1.988041183975708E-5</c:v>
              </c:pt>
              <c:pt idx="195">
                <c:v>1.9784805959939862E-5</c:v>
              </c:pt>
              <c:pt idx="196">
                <c:v>1.9690115225912361E-5</c:v>
              </c:pt>
              <c:pt idx="197">
                <c:v>1.9596326560508496E-5</c:v>
              </c:pt>
              <c:pt idx="198">
                <c:v>1.9503427134539526E-5</c:v>
              </c:pt>
              <c:pt idx="199">
                <c:v>1.9411404360943927E-5</c:v>
              </c:pt>
            </c:numLit>
          </c:yVal>
          <c:smooth val="0"/>
          <c:extLst>
            <c:ext xmlns:c16="http://schemas.microsoft.com/office/drawing/2014/chart" uri="{C3380CC4-5D6E-409C-BE32-E72D297353CC}">
              <c16:uniqueId val="{00000000-3071-4ABE-8BEE-3F42881B394E}"/>
            </c:ext>
          </c:extLst>
        </c:ser>
        <c:dLbls>
          <c:showLegendKey val="0"/>
          <c:showVal val="0"/>
          <c:showCatName val="0"/>
          <c:showSerName val="0"/>
          <c:showPercent val="0"/>
          <c:showBubbleSize val="0"/>
        </c:dLbls>
        <c:axId val="655822864"/>
        <c:axId val="655814008"/>
      </c:scatterChart>
      <c:valAx>
        <c:axId val="65582286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BurnDuration[Days]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55814008"/>
        <c:crosses val="autoZero"/>
        <c:crossBetween val="midCat"/>
      </c:valAx>
      <c:valAx>
        <c:axId val="65581400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Thrust Level [N]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5582286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Trade results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strRef>
              <c:f>Trade_off!$C$30</c:f>
              <c:strCache>
                <c:ptCount val="1"/>
                <c:pt idx="0">
                  <c:v>Option 1</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Trade_off!$C$32:$C$41</c15:sqref>
                  </c15:fullRef>
                </c:ext>
              </c:extLst>
              <c:f>Trade_off!$C$32:$C$35</c:f>
              <c:numCache>
                <c:formatCode>General</c:formatCode>
                <c:ptCount val="4"/>
                <c:pt idx="0">
                  <c:v>3</c:v>
                </c:pt>
                <c:pt idx="1">
                  <c:v>5</c:v>
                </c:pt>
                <c:pt idx="2">
                  <c:v>8</c:v>
                </c:pt>
                <c:pt idx="3">
                  <c:v>4</c:v>
                </c:pt>
              </c:numCache>
            </c:numRef>
          </c:val>
          <c:extLst>
            <c:ext xmlns:c16="http://schemas.microsoft.com/office/drawing/2014/chart" uri="{C3380CC4-5D6E-409C-BE32-E72D297353CC}">
              <c16:uniqueId val="{00000000-CD6B-4909-9E4C-EF7386BC8EE0}"/>
            </c:ext>
          </c:extLst>
        </c:ser>
        <c:ser>
          <c:idx val="1"/>
          <c:order val="1"/>
          <c:tx>
            <c:strRef>
              <c:f>Trade_off!$D$30</c:f>
              <c:strCache>
                <c:ptCount val="1"/>
                <c:pt idx="0">
                  <c:v>Option 2</c:v>
                </c:pt>
              </c:strCache>
            </c:strRef>
          </c:tx>
          <c:spPr>
            <a:ln w="28575" cap="rnd">
              <a:solidFill>
                <a:schemeClr val="accent2"/>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Trade_off!$D$32:$D$41</c15:sqref>
                  </c15:fullRef>
                </c:ext>
              </c:extLst>
              <c:f>Trade_off!$D$32:$D$35</c:f>
              <c:numCache>
                <c:formatCode>General</c:formatCode>
                <c:ptCount val="4"/>
                <c:pt idx="0">
                  <c:v>3</c:v>
                </c:pt>
                <c:pt idx="1">
                  <c:v>7</c:v>
                </c:pt>
                <c:pt idx="2">
                  <c:v>5</c:v>
                </c:pt>
                <c:pt idx="3">
                  <c:v>3</c:v>
                </c:pt>
              </c:numCache>
            </c:numRef>
          </c:val>
          <c:extLst>
            <c:ext xmlns:c16="http://schemas.microsoft.com/office/drawing/2014/chart" uri="{C3380CC4-5D6E-409C-BE32-E72D297353CC}">
              <c16:uniqueId val="{00000001-CD6B-4909-9E4C-EF7386BC8EE0}"/>
            </c:ext>
          </c:extLst>
        </c:ser>
        <c:ser>
          <c:idx val="2"/>
          <c:order val="2"/>
          <c:tx>
            <c:strRef>
              <c:f>Trade_off!$E$30</c:f>
              <c:strCache>
                <c:ptCount val="1"/>
                <c:pt idx="0">
                  <c:v>Option 3</c:v>
                </c:pt>
              </c:strCache>
            </c:strRef>
          </c:tx>
          <c:spPr>
            <a:ln w="28575" cap="rnd">
              <a:solidFill>
                <a:schemeClr val="accent3"/>
              </a:solidFill>
              <a:round/>
            </a:ln>
            <a:effectLst/>
          </c:spPr>
          <c:marker>
            <c:symbol val="none"/>
          </c:marker>
          <c:cat>
            <c:strLit>
              <c:ptCount val="4"/>
              <c:pt idx="0">
                <c:v>Mass</c:v>
              </c:pt>
              <c:pt idx="1">
                <c:v>Cost</c:v>
              </c:pt>
              <c:pt idx="2">
                <c:v>Power</c:v>
              </c:pt>
              <c:pt idx="3">
                <c:v>Equilibrium temperature</c:v>
              </c:pt>
              <c:pt idx="4">
                <c:v>E</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Trade_off!$E$32:$E$35</c15:sqref>
                  </c15:fullRef>
                </c:ext>
              </c:extLst>
              <c:f>Trade_off!$E$32:$E$35</c:f>
              <c:numCache>
                <c:formatCode>General</c:formatCode>
                <c:ptCount val="4"/>
                <c:pt idx="0">
                  <c:v>3</c:v>
                </c:pt>
                <c:pt idx="1">
                  <c:v>4</c:v>
                </c:pt>
                <c:pt idx="2">
                  <c:v>2</c:v>
                </c:pt>
                <c:pt idx="3">
                  <c:v>1</c:v>
                </c:pt>
              </c:numCache>
            </c:numRef>
          </c:val>
          <c:extLst>
            <c:ext xmlns:c16="http://schemas.microsoft.com/office/drawing/2014/chart" uri="{C3380CC4-5D6E-409C-BE32-E72D297353CC}">
              <c16:uniqueId val="{00000002-CD6B-4909-9E4C-EF7386BC8EE0}"/>
            </c:ext>
          </c:extLst>
        </c:ser>
        <c:dLbls>
          <c:showLegendKey val="0"/>
          <c:showVal val="0"/>
          <c:showCatName val="0"/>
          <c:showSerName val="0"/>
          <c:showPercent val="0"/>
          <c:showBubbleSize val="0"/>
        </c:dLbls>
        <c:axId val="592043480"/>
        <c:axId val="592036264"/>
      </c:radarChart>
      <c:catAx>
        <c:axId val="592043480"/>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36264"/>
        <c:crosses val="autoZero"/>
        <c:auto val="1"/>
        <c:lblAlgn val="ctr"/>
        <c:lblOffset val="100"/>
        <c:noMultiLvlLbl val="0"/>
      </c:catAx>
      <c:valAx>
        <c:axId val="59203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434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6.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7.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8.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9.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0.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6.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7.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8.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19.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0.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Drop" dropStyle="combo" dx="16" fmlaLink="$C$9" fmlaRange="$M$35:$M$41" noThreeD="1" sel="4" val="0"/>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94C7FDD0-AAD2-419C-AFC9-BBBE6FC36DB3}" type="doc">
      <dgm:prSet loTypeId="urn:microsoft.com/office/officeart/2009/layout/CirclePictureHierarchy" loCatId="hierarchy" qsTypeId="urn:microsoft.com/office/officeart/2005/8/quickstyle/simple1" qsCatId="simple" csTypeId="urn:microsoft.com/office/officeart/2005/8/colors/accent1_2" csCatId="accent1" phldr="0"/>
      <dgm:spPr/>
      <dgm:t>
        <a:bodyPr/>
        <a:lstStyle/>
        <a:p>
          <a:endParaRPr lang="en-US"/>
        </a:p>
      </dgm:t>
    </dgm:pt>
    <dgm:pt modelId="{E9667564-14AD-45D3-ACD8-C1ABCCBCC63E}">
      <dgm:prSet phldrT="[Text]" phldr="1"/>
      <dgm:spPr/>
      <dgm:t>
        <a:bodyPr/>
        <a:lstStyle/>
        <a:p>
          <a:endParaRPr lang="en-US"/>
        </a:p>
      </dgm:t>
    </dgm:pt>
    <dgm:pt modelId="{90463D30-C616-4947-BC17-7590517A7167}" type="parTrans" cxnId="{D750873F-D599-49FF-92CD-DE1E3473E623}">
      <dgm:prSet/>
      <dgm:spPr/>
      <dgm:t>
        <a:bodyPr/>
        <a:lstStyle/>
        <a:p>
          <a:endParaRPr lang="en-US"/>
        </a:p>
      </dgm:t>
    </dgm:pt>
    <dgm:pt modelId="{99978BF7-BFAD-4259-8CD5-F930CF966C34}" type="sibTrans" cxnId="{D750873F-D599-49FF-92CD-DE1E3473E623}">
      <dgm:prSet/>
      <dgm:spPr/>
      <dgm:t>
        <a:bodyPr/>
        <a:lstStyle/>
        <a:p>
          <a:endParaRPr lang="en-US"/>
        </a:p>
      </dgm:t>
    </dgm:pt>
    <dgm:pt modelId="{6A07B9C6-4160-455E-8C74-72F18E901367}">
      <dgm:prSet phldrT="[Text]" phldr="1"/>
      <dgm:spPr/>
      <dgm:t>
        <a:bodyPr/>
        <a:lstStyle/>
        <a:p>
          <a:endParaRPr lang="en-US"/>
        </a:p>
      </dgm:t>
    </dgm:pt>
    <dgm:pt modelId="{D12E1C3C-E60F-4DB2-B574-8BF0636F23C6}" type="parTrans" cxnId="{BC852D4C-3A6E-455F-9FA5-08D3D8E73CAA}">
      <dgm:prSet/>
      <dgm:spPr/>
      <dgm:t>
        <a:bodyPr/>
        <a:lstStyle/>
        <a:p>
          <a:endParaRPr lang="en-US"/>
        </a:p>
      </dgm:t>
    </dgm:pt>
    <dgm:pt modelId="{4A84A777-7845-4F2B-80FF-4CA141BEC0D8}" type="sibTrans" cxnId="{BC852D4C-3A6E-455F-9FA5-08D3D8E73CAA}">
      <dgm:prSet/>
      <dgm:spPr/>
      <dgm:t>
        <a:bodyPr/>
        <a:lstStyle/>
        <a:p>
          <a:endParaRPr lang="en-US"/>
        </a:p>
      </dgm:t>
    </dgm:pt>
    <dgm:pt modelId="{664B6403-71A3-4A6B-B058-991FE51306E9}">
      <dgm:prSet phldrT="[Text]" phldr="1"/>
      <dgm:spPr/>
      <dgm:t>
        <a:bodyPr/>
        <a:lstStyle/>
        <a:p>
          <a:endParaRPr lang="en-US"/>
        </a:p>
      </dgm:t>
    </dgm:pt>
    <dgm:pt modelId="{E56C7C4E-AC5E-4B58-889C-C4F9F4F6EC69}" type="parTrans" cxnId="{1AA4B005-4E6D-42EE-ADB2-27DFCD8DE4FC}">
      <dgm:prSet/>
      <dgm:spPr/>
      <dgm:t>
        <a:bodyPr/>
        <a:lstStyle/>
        <a:p>
          <a:endParaRPr lang="en-US"/>
        </a:p>
      </dgm:t>
    </dgm:pt>
    <dgm:pt modelId="{81BE5DF3-4CD0-4787-BBD6-95FFE8CE7B8F}" type="sibTrans" cxnId="{1AA4B005-4E6D-42EE-ADB2-27DFCD8DE4FC}">
      <dgm:prSet/>
      <dgm:spPr/>
      <dgm:t>
        <a:bodyPr/>
        <a:lstStyle/>
        <a:p>
          <a:endParaRPr lang="en-US"/>
        </a:p>
      </dgm:t>
    </dgm:pt>
    <dgm:pt modelId="{9DAACB1A-536C-4D6D-BFDC-D39639F80174}">
      <dgm:prSet phldrT="[Text]" phldr="1"/>
      <dgm:spPr/>
      <dgm:t>
        <a:bodyPr/>
        <a:lstStyle/>
        <a:p>
          <a:endParaRPr lang="en-US"/>
        </a:p>
      </dgm:t>
    </dgm:pt>
    <dgm:pt modelId="{92E9788D-3B23-4B6C-995A-7778D4AC8E10}" type="parTrans" cxnId="{1AED4339-CE92-4CDE-8451-5FBBAB0269F1}">
      <dgm:prSet/>
      <dgm:spPr/>
      <dgm:t>
        <a:bodyPr/>
        <a:lstStyle/>
        <a:p>
          <a:endParaRPr lang="en-US"/>
        </a:p>
      </dgm:t>
    </dgm:pt>
    <dgm:pt modelId="{B4C9E62B-44F1-4FCA-AEDB-B576BD615C54}" type="sibTrans" cxnId="{1AED4339-CE92-4CDE-8451-5FBBAB0269F1}">
      <dgm:prSet/>
      <dgm:spPr/>
      <dgm:t>
        <a:bodyPr/>
        <a:lstStyle/>
        <a:p>
          <a:endParaRPr lang="en-US"/>
        </a:p>
      </dgm:t>
    </dgm:pt>
    <dgm:pt modelId="{B818A29B-1AD6-44C3-9273-13235861DD41}">
      <dgm:prSet phldrT="[Text]" phldr="1"/>
      <dgm:spPr/>
      <dgm:t>
        <a:bodyPr/>
        <a:lstStyle/>
        <a:p>
          <a:endParaRPr lang="en-US"/>
        </a:p>
      </dgm:t>
    </dgm:pt>
    <dgm:pt modelId="{575E53D2-A59E-4C85-8F59-481525832D97}" type="parTrans" cxnId="{EA8B1F48-0067-4C91-913E-18D6FEFFC3C8}">
      <dgm:prSet/>
      <dgm:spPr/>
      <dgm:t>
        <a:bodyPr/>
        <a:lstStyle/>
        <a:p>
          <a:endParaRPr lang="en-US"/>
        </a:p>
      </dgm:t>
    </dgm:pt>
    <dgm:pt modelId="{FE99A47F-FEF5-4E37-BD52-D407DE30E077}" type="sibTrans" cxnId="{EA8B1F48-0067-4C91-913E-18D6FEFFC3C8}">
      <dgm:prSet/>
      <dgm:spPr/>
      <dgm:t>
        <a:bodyPr/>
        <a:lstStyle/>
        <a:p>
          <a:endParaRPr lang="en-US"/>
        </a:p>
      </dgm:t>
    </dgm:pt>
    <dgm:pt modelId="{5FA9ACC2-E1DA-4FC0-BDF7-01D6332DA02E}">
      <dgm:prSet phldrT="[Text]" phldr="1"/>
      <dgm:spPr/>
      <dgm:t>
        <a:bodyPr/>
        <a:lstStyle/>
        <a:p>
          <a:endParaRPr lang="en-US"/>
        </a:p>
      </dgm:t>
    </dgm:pt>
    <dgm:pt modelId="{C7FF01E2-BA5D-4E8E-97F7-C615D0DF98F8}" type="parTrans" cxnId="{F5CF10D8-5D8F-4731-9DA2-5A96401441DE}">
      <dgm:prSet/>
      <dgm:spPr/>
      <dgm:t>
        <a:bodyPr/>
        <a:lstStyle/>
        <a:p>
          <a:endParaRPr lang="en-US"/>
        </a:p>
      </dgm:t>
    </dgm:pt>
    <dgm:pt modelId="{52E1DEF9-2D8A-4EFE-BA82-C7F4E6A81D0C}" type="sibTrans" cxnId="{F5CF10D8-5D8F-4731-9DA2-5A96401441DE}">
      <dgm:prSet/>
      <dgm:spPr/>
      <dgm:t>
        <a:bodyPr/>
        <a:lstStyle/>
        <a:p>
          <a:endParaRPr lang="en-US"/>
        </a:p>
      </dgm:t>
    </dgm:pt>
    <dgm:pt modelId="{343FD467-F3FB-46CF-BB12-385E867A5184}" type="pres">
      <dgm:prSet presAssocID="{94C7FDD0-AAD2-419C-AFC9-BBBE6FC36DB3}" presName="hierChild1" presStyleCnt="0">
        <dgm:presLayoutVars>
          <dgm:chPref val="1"/>
          <dgm:dir/>
          <dgm:animOne val="branch"/>
          <dgm:animLvl val="lvl"/>
          <dgm:resizeHandles/>
        </dgm:presLayoutVars>
      </dgm:prSet>
      <dgm:spPr/>
      <dgm:t>
        <a:bodyPr/>
        <a:lstStyle/>
        <a:p>
          <a:endParaRPr lang="en-US"/>
        </a:p>
      </dgm:t>
    </dgm:pt>
    <dgm:pt modelId="{B1A89F8C-C6D4-45D7-A95D-988D543CE467}" type="pres">
      <dgm:prSet presAssocID="{E9667564-14AD-45D3-ACD8-C1ABCCBCC63E}" presName="hierRoot1" presStyleCnt="0"/>
      <dgm:spPr/>
    </dgm:pt>
    <dgm:pt modelId="{B80E2564-7341-4560-94FF-11EE2C253BA5}" type="pres">
      <dgm:prSet presAssocID="{E9667564-14AD-45D3-ACD8-C1ABCCBCC63E}" presName="composite" presStyleCnt="0"/>
      <dgm:spPr/>
    </dgm:pt>
    <dgm:pt modelId="{7B8EC359-1DC9-40A7-BE23-29B312694D6D}" type="pres">
      <dgm:prSet presAssocID="{E9667564-14AD-45D3-ACD8-C1ABCCBCC63E}" presName="image" presStyleLbl="node0" presStyleIdx="0" presStyleCnt="1"/>
      <dgm:spPr/>
    </dgm:pt>
    <dgm:pt modelId="{9F781E3E-3DC2-4767-882E-70745A7F3EC5}" type="pres">
      <dgm:prSet presAssocID="{E9667564-14AD-45D3-ACD8-C1ABCCBCC63E}" presName="text" presStyleLbl="revTx" presStyleIdx="0" presStyleCnt="6">
        <dgm:presLayoutVars>
          <dgm:chPref val="3"/>
        </dgm:presLayoutVars>
      </dgm:prSet>
      <dgm:spPr/>
      <dgm:t>
        <a:bodyPr/>
        <a:lstStyle/>
        <a:p>
          <a:endParaRPr lang="en-US"/>
        </a:p>
      </dgm:t>
    </dgm:pt>
    <dgm:pt modelId="{64F02A9C-8D20-402F-86F0-015C5CD6677B}" type="pres">
      <dgm:prSet presAssocID="{E9667564-14AD-45D3-ACD8-C1ABCCBCC63E}" presName="hierChild2" presStyleCnt="0"/>
      <dgm:spPr/>
    </dgm:pt>
    <dgm:pt modelId="{0BD93774-5544-47E6-A145-4356ABA9BBD9}" type="pres">
      <dgm:prSet presAssocID="{D12E1C3C-E60F-4DB2-B574-8BF0636F23C6}" presName="Name10" presStyleLbl="parChTrans1D2" presStyleIdx="0" presStyleCnt="2"/>
      <dgm:spPr/>
      <dgm:t>
        <a:bodyPr/>
        <a:lstStyle/>
        <a:p>
          <a:endParaRPr lang="en-US"/>
        </a:p>
      </dgm:t>
    </dgm:pt>
    <dgm:pt modelId="{0ABD5E6B-692E-41C4-8544-142283DA578C}" type="pres">
      <dgm:prSet presAssocID="{6A07B9C6-4160-455E-8C74-72F18E901367}" presName="hierRoot2" presStyleCnt="0"/>
      <dgm:spPr/>
    </dgm:pt>
    <dgm:pt modelId="{BE0260C9-70DB-4433-806B-6DCA26C492CE}" type="pres">
      <dgm:prSet presAssocID="{6A07B9C6-4160-455E-8C74-72F18E901367}" presName="composite2" presStyleCnt="0"/>
      <dgm:spPr/>
    </dgm:pt>
    <dgm:pt modelId="{BA7709C3-4A7D-4077-B8D4-23D52909BE2B}" type="pres">
      <dgm:prSet presAssocID="{6A07B9C6-4160-455E-8C74-72F18E901367}" presName="image2" presStyleLbl="node2" presStyleIdx="0" presStyleCnt="2"/>
      <dgm:spPr/>
    </dgm:pt>
    <dgm:pt modelId="{41289680-632B-42A4-BCE5-4C20A233DA89}" type="pres">
      <dgm:prSet presAssocID="{6A07B9C6-4160-455E-8C74-72F18E901367}" presName="text2" presStyleLbl="revTx" presStyleIdx="1" presStyleCnt="6">
        <dgm:presLayoutVars>
          <dgm:chPref val="3"/>
        </dgm:presLayoutVars>
      </dgm:prSet>
      <dgm:spPr/>
      <dgm:t>
        <a:bodyPr/>
        <a:lstStyle/>
        <a:p>
          <a:endParaRPr lang="en-US"/>
        </a:p>
      </dgm:t>
    </dgm:pt>
    <dgm:pt modelId="{DB3FD418-A445-44D7-8691-DCB43991B827}" type="pres">
      <dgm:prSet presAssocID="{6A07B9C6-4160-455E-8C74-72F18E901367}" presName="hierChild3" presStyleCnt="0"/>
      <dgm:spPr/>
    </dgm:pt>
    <dgm:pt modelId="{8886C317-73EB-439B-AF8C-24AC2053367A}" type="pres">
      <dgm:prSet presAssocID="{E56C7C4E-AC5E-4B58-889C-C4F9F4F6EC69}" presName="Name17" presStyleLbl="parChTrans1D3" presStyleIdx="0" presStyleCnt="3"/>
      <dgm:spPr/>
      <dgm:t>
        <a:bodyPr/>
        <a:lstStyle/>
        <a:p>
          <a:endParaRPr lang="en-US"/>
        </a:p>
      </dgm:t>
    </dgm:pt>
    <dgm:pt modelId="{A392556A-C14F-4D54-AEFD-C721D44F7C5A}" type="pres">
      <dgm:prSet presAssocID="{664B6403-71A3-4A6B-B058-991FE51306E9}" presName="hierRoot3" presStyleCnt="0"/>
      <dgm:spPr/>
    </dgm:pt>
    <dgm:pt modelId="{377AC492-B950-47F0-9EE1-17681839B577}" type="pres">
      <dgm:prSet presAssocID="{664B6403-71A3-4A6B-B058-991FE51306E9}" presName="composite3" presStyleCnt="0"/>
      <dgm:spPr/>
    </dgm:pt>
    <dgm:pt modelId="{D5E7A8B0-6A3A-4D79-A0D2-3741B750C434}" type="pres">
      <dgm:prSet presAssocID="{664B6403-71A3-4A6B-B058-991FE51306E9}" presName="image3" presStyleLbl="node3" presStyleIdx="0" presStyleCnt="3"/>
      <dgm:spPr/>
    </dgm:pt>
    <dgm:pt modelId="{C7C737C7-06D8-49B6-8471-838B1324602B}" type="pres">
      <dgm:prSet presAssocID="{664B6403-71A3-4A6B-B058-991FE51306E9}" presName="text3" presStyleLbl="revTx" presStyleIdx="2" presStyleCnt="6">
        <dgm:presLayoutVars>
          <dgm:chPref val="3"/>
        </dgm:presLayoutVars>
      </dgm:prSet>
      <dgm:spPr/>
      <dgm:t>
        <a:bodyPr/>
        <a:lstStyle/>
        <a:p>
          <a:endParaRPr lang="en-US"/>
        </a:p>
      </dgm:t>
    </dgm:pt>
    <dgm:pt modelId="{792C1E6D-1E13-47DE-8446-FEC633A56940}" type="pres">
      <dgm:prSet presAssocID="{664B6403-71A3-4A6B-B058-991FE51306E9}" presName="hierChild4" presStyleCnt="0"/>
      <dgm:spPr/>
    </dgm:pt>
    <dgm:pt modelId="{41B01B65-88F7-4158-BFC4-30E0EF0E5D42}" type="pres">
      <dgm:prSet presAssocID="{92E9788D-3B23-4B6C-995A-7778D4AC8E10}" presName="Name17" presStyleLbl="parChTrans1D3" presStyleIdx="1" presStyleCnt="3"/>
      <dgm:spPr/>
      <dgm:t>
        <a:bodyPr/>
        <a:lstStyle/>
        <a:p>
          <a:endParaRPr lang="en-US"/>
        </a:p>
      </dgm:t>
    </dgm:pt>
    <dgm:pt modelId="{0F59BE54-BEE8-484E-B9A1-BB01042F8041}" type="pres">
      <dgm:prSet presAssocID="{9DAACB1A-536C-4D6D-BFDC-D39639F80174}" presName="hierRoot3" presStyleCnt="0"/>
      <dgm:spPr/>
    </dgm:pt>
    <dgm:pt modelId="{BCFEE3CA-EBCD-40D1-AC85-AF8CCDB0088D}" type="pres">
      <dgm:prSet presAssocID="{9DAACB1A-536C-4D6D-BFDC-D39639F80174}" presName="composite3" presStyleCnt="0"/>
      <dgm:spPr/>
    </dgm:pt>
    <dgm:pt modelId="{B723AF5F-FDBC-4CAD-B15D-2D38F9A0770C}" type="pres">
      <dgm:prSet presAssocID="{9DAACB1A-536C-4D6D-BFDC-D39639F80174}" presName="image3" presStyleLbl="node3" presStyleIdx="1" presStyleCnt="3"/>
      <dgm:spPr/>
    </dgm:pt>
    <dgm:pt modelId="{6A8A9762-97A0-4179-96E8-58A267043AA7}" type="pres">
      <dgm:prSet presAssocID="{9DAACB1A-536C-4D6D-BFDC-D39639F80174}" presName="text3" presStyleLbl="revTx" presStyleIdx="3" presStyleCnt="6">
        <dgm:presLayoutVars>
          <dgm:chPref val="3"/>
        </dgm:presLayoutVars>
      </dgm:prSet>
      <dgm:spPr/>
      <dgm:t>
        <a:bodyPr/>
        <a:lstStyle/>
        <a:p>
          <a:endParaRPr lang="en-US"/>
        </a:p>
      </dgm:t>
    </dgm:pt>
    <dgm:pt modelId="{E2DDB516-C27C-44AF-A684-E947AD9E08BD}" type="pres">
      <dgm:prSet presAssocID="{9DAACB1A-536C-4D6D-BFDC-D39639F80174}" presName="hierChild4" presStyleCnt="0"/>
      <dgm:spPr/>
    </dgm:pt>
    <dgm:pt modelId="{CE07A075-C6A1-4671-9E47-E00AACDC435B}" type="pres">
      <dgm:prSet presAssocID="{575E53D2-A59E-4C85-8F59-481525832D97}" presName="Name10" presStyleLbl="parChTrans1D2" presStyleIdx="1" presStyleCnt="2"/>
      <dgm:spPr/>
      <dgm:t>
        <a:bodyPr/>
        <a:lstStyle/>
        <a:p>
          <a:endParaRPr lang="en-US"/>
        </a:p>
      </dgm:t>
    </dgm:pt>
    <dgm:pt modelId="{3EFC0676-4ADC-4382-AFC5-7785DD8A0D4A}" type="pres">
      <dgm:prSet presAssocID="{B818A29B-1AD6-44C3-9273-13235861DD41}" presName="hierRoot2" presStyleCnt="0"/>
      <dgm:spPr/>
    </dgm:pt>
    <dgm:pt modelId="{70772DD0-DD3C-41AC-9BE0-FA5E35EDC956}" type="pres">
      <dgm:prSet presAssocID="{B818A29B-1AD6-44C3-9273-13235861DD41}" presName="composite2" presStyleCnt="0"/>
      <dgm:spPr/>
    </dgm:pt>
    <dgm:pt modelId="{0E01F25D-3137-42B4-8BD4-03972C203C14}" type="pres">
      <dgm:prSet presAssocID="{B818A29B-1AD6-44C3-9273-13235861DD41}" presName="image2" presStyleLbl="node2" presStyleIdx="1" presStyleCnt="2"/>
      <dgm:spPr/>
    </dgm:pt>
    <dgm:pt modelId="{0060D829-33CC-4C76-8842-21284DEF264C}" type="pres">
      <dgm:prSet presAssocID="{B818A29B-1AD6-44C3-9273-13235861DD41}" presName="text2" presStyleLbl="revTx" presStyleIdx="4" presStyleCnt="6">
        <dgm:presLayoutVars>
          <dgm:chPref val="3"/>
        </dgm:presLayoutVars>
      </dgm:prSet>
      <dgm:spPr/>
      <dgm:t>
        <a:bodyPr/>
        <a:lstStyle/>
        <a:p>
          <a:endParaRPr lang="en-US"/>
        </a:p>
      </dgm:t>
    </dgm:pt>
    <dgm:pt modelId="{26D5A822-8DFB-4B65-9775-3785A960924A}" type="pres">
      <dgm:prSet presAssocID="{B818A29B-1AD6-44C3-9273-13235861DD41}" presName="hierChild3" presStyleCnt="0"/>
      <dgm:spPr/>
    </dgm:pt>
    <dgm:pt modelId="{00CFC339-A71B-4DCF-A73A-8C8431BD8F3B}" type="pres">
      <dgm:prSet presAssocID="{C7FF01E2-BA5D-4E8E-97F7-C615D0DF98F8}" presName="Name17" presStyleLbl="parChTrans1D3" presStyleIdx="2" presStyleCnt="3"/>
      <dgm:spPr/>
      <dgm:t>
        <a:bodyPr/>
        <a:lstStyle/>
        <a:p>
          <a:endParaRPr lang="en-US"/>
        </a:p>
      </dgm:t>
    </dgm:pt>
    <dgm:pt modelId="{FBD27A44-5684-42B8-9137-0905DBDB55B1}" type="pres">
      <dgm:prSet presAssocID="{5FA9ACC2-E1DA-4FC0-BDF7-01D6332DA02E}" presName="hierRoot3" presStyleCnt="0"/>
      <dgm:spPr/>
    </dgm:pt>
    <dgm:pt modelId="{4FFA733C-3C53-4540-99F5-8BDC48A03509}" type="pres">
      <dgm:prSet presAssocID="{5FA9ACC2-E1DA-4FC0-BDF7-01D6332DA02E}" presName="composite3" presStyleCnt="0"/>
      <dgm:spPr/>
    </dgm:pt>
    <dgm:pt modelId="{62585ED3-DD1F-468F-8727-16492DB18598}" type="pres">
      <dgm:prSet presAssocID="{5FA9ACC2-E1DA-4FC0-BDF7-01D6332DA02E}" presName="image3" presStyleLbl="node3" presStyleIdx="2" presStyleCnt="3"/>
      <dgm:spPr/>
    </dgm:pt>
    <dgm:pt modelId="{A04719F1-4AB0-48E7-B90A-7127CA78C5DA}" type="pres">
      <dgm:prSet presAssocID="{5FA9ACC2-E1DA-4FC0-BDF7-01D6332DA02E}" presName="text3" presStyleLbl="revTx" presStyleIdx="5" presStyleCnt="6">
        <dgm:presLayoutVars>
          <dgm:chPref val="3"/>
        </dgm:presLayoutVars>
      </dgm:prSet>
      <dgm:spPr/>
      <dgm:t>
        <a:bodyPr/>
        <a:lstStyle/>
        <a:p>
          <a:endParaRPr lang="en-US"/>
        </a:p>
      </dgm:t>
    </dgm:pt>
    <dgm:pt modelId="{394CE9F0-BC87-467D-9DEA-8BFF3DCB5242}" type="pres">
      <dgm:prSet presAssocID="{5FA9ACC2-E1DA-4FC0-BDF7-01D6332DA02E}" presName="hierChild4" presStyleCnt="0"/>
      <dgm:spPr/>
    </dgm:pt>
  </dgm:ptLst>
  <dgm:cxnLst>
    <dgm:cxn modelId="{F490AF73-43EB-4319-B7AF-FADB4E0771A4}" type="presOf" srcId="{92E9788D-3B23-4B6C-995A-7778D4AC8E10}" destId="{41B01B65-88F7-4158-BFC4-30E0EF0E5D42}" srcOrd="0" destOrd="0" presId="urn:microsoft.com/office/officeart/2009/layout/CirclePictureHierarchy"/>
    <dgm:cxn modelId="{7556D466-CA85-4435-8081-3F508E7BD14A}" type="presOf" srcId="{B818A29B-1AD6-44C3-9273-13235861DD41}" destId="{0060D829-33CC-4C76-8842-21284DEF264C}" srcOrd="0" destOrd="0" presId="urn:microsoft.com/office/officeart/2009/layout/CirclePictureHierarchy"/>
    <dgm:cxn modelId="{6EB6AB43-4924-4269-B20D-91FDE2A33200}" type="presOf" srcId="{9DAACB1A-536C-4D6D-BFDC-D39639F80174}" destId="{6A8A9762-97A0-4179-96E8-58A267043AA7}" srcOrd="0" destOrd="0" presId="urn:microsoft.com/office/officeart/2009/layout/CirclePictureHierarchy"/>
    <dgm:cxn modelId="{EDF0B1E6-6948-49A3-BE0B-508F6728F6F2}" type="presOf" srcId="{6A07B9C6-4160-455E-8C74-72F18E901367}" destId="{41289680-632B-42A4-BCE5-4C20A233DA89}" srcOrd="0" destOrd="0" presId="urn:microsoft.com/office/officeart/2009/layout/CirclePictureHierarchy"/>
    <dgm:cxn modelId="{95F6A97E-6EDB-4E08-8872-79FC742E8C1D}" type="presOf" srcId="{C7FF01E2-BA5D-4E8E-97F7-C615D0DF98F8}" destId="{00CFC339-A71B-4DCF-A73A-8C8431BD8F3B}" srcOrd="0" destOrd="0" presId="urn:microsoft.com/office/officeart/2009/layout/CirclePictureHierarchy"/>
    <dgm:cxn modelId="{98B51426-CC84-454B-A5A1-ACB46C3950FF}" type="presOf" srcId="{5FA9ACC2-E1DA-4FC0-BDF7-01D6332DA02E}" destId="{A04719F1-4AB0-48E7-B90A-7127CA78C5DA}" srcOrd="0" destOrd="0" presId="urn:microsoft.com/office/officeart/2009/layout/CirclePictureHierarchy"/>
    <dgm:cxn modelId="{CD8F3423-FCF2-4185-B764-13EE759361BA}" type="presOf" srcId="{E9667564-14AD-45D3-ACD8-C1ABCCBCC63E}" destId="{9F781E3E-3DC2-4767-882E-70745A7F3EC5}" srcOrd="0" destOrd="0" presId="urn:microsoft.com/office/officeart/2009/layout/CirclePictureHierarchy"/>
    <dgm:cxn modelId="{BC852D4C-3A6E-455F-9FA5-08D3D8E73CAA}" srcId="{E9667564-14AD-45D3-ACD8-C1ABCCBCC63E}" destId="{6A07B9C6-4160-455E-8C74-72F18E901367}" srcOrd="0" destOrd="0" parTransId="{D12E1C3C-E60F-4DB2-B574-8BF0636F23C6}" sibTransId="{4A84A777-7845-4F2B-80FF-4CA141BEC0D8}"/>
    <dgm:cxn modelId="{F5CF10D8-5D8F-4731-9DA2-5A96401441DE}" srcId="{B818A29B-1AD6-44C3-9273-13235861DD41}" destId="{5FA9ACC2-E1DA-4FC0-BDF7-01D6332DA02E}" srcOrd="0" destOrd="0" parTransId="{C7FF01E2-BA5D-4E8E-97F7-C615D0DF98F8}" sibTransId="{52E1DEF9-2D8A-4EFE-BA82-C7F4E6A81D0C}"/>
    <dgm:cxn modelId="{1AED4339-CE92-4CDE-8451-5FBBAB0269F1}" srcId="{6A07B9C6-4160-455E-8C74-72F18E901367}" destId="{9DAACB1A-536C-4D6D-BFDC-D39639F80174}" srcOrd="1" destOrd="0" parTransId="{92E9788D-3B23-4B6C-995A-7778D4AC8E10}" sibTransId="{B4C9E62B-44F1-4FCA-AEDB-B576BD615C54}"/>
    <dgm:cxn modelId="{966FE45F-4827-4DA0-807A-67872EF4D582}" type="presOf" srcId="{664B6403-71A3-4A6B-B058-991FE51306E9}" destId="{C7C737C7-06D8-49B6-8471-838B1324602B}" srcOrd="0" destOrd="0" presId="urn:microsoft.com/office/officeart/2009/layout/CirclePictureHierarchy"/>
    <dgm:cxn modelId="{D750873F-D599-49FF-92CD-DE1E3473E623}" srcId="{94C7FDD0-AAD2-419C-AFC9-BBBE6FC36DB3}" destId="{E9667564-14AD-45D3-ACD8-C1ABCCBCC63E}" srcOrd="0" destOrd="0" parTransId="{90463D30-C616-4947-BC17-7590517A7167}" sibTransId="{99978BF7-BFAD-4259-8CD5-F930CF966C34}"/>
    <dgm:cxn modelId="{9350AD66-C4E4-4508-A764-B36EE51D352C}" type="presOf" srcId="{575E53D2-A59E-4C85-8F59-481525832D97}" destId="{CE07A075-C6A1-4671-9E47-E00AACDC435B}" srcOrd="0" destOrd="0" presId="urn:microsoft.com/office/officeart/2009/layout/CirclePictureHierarchy"/>
    <dgm:cxn modelId="{3FF5B5A9-461F-48CE-A0A5-799F0EDD3FA5}" type="presOf" srcId="{94C7FDD0-AAD2-419C-AFC9-BBBE6FC36DB3}" destId="{343FD467-F3FB-46CF-BB12-385E867A5184}" srcOrd="0" destOrd="0" presId="urn:microsoft.com/office/officeart/2009/layout/CirclePictureHierarchy"/>
    <dgm:cxn modelId="{EA8B1F48-0067-4C91-913E-18D6FEFFC3C8}" srcId="{E9667564-14AD-45D3-ACD8-C1ABCCBCC63E}" destId="{B818A29B-1AD6-44C3-9273-13235861DD41}" srcOrd="1" destOrd="0" parTransId="{575E53D2-A59E-4C85-8F59-481525832D97}" sibTransId="{FE99A47F-FEF5-4E37-BD52-D407DE30E077}"/>
    <dgm:cxn modelId="{1AA4B005-4E6D-42EE-ADB2-27DFCD8DE4FC}" srcId="{6A07B9C6-4160-455E-8C74-72F18E901367}" destId="{664B6403-71A3-4A6B-B058-991FE51306E9}" srcOrd="0" destOrd="0" parTransId="{E56C7C4E-AC5E-4B58-889C-C4F9F4F6EC69}" sibTransId="{81BE5DF3-4CD0-4787-BBD6-95FFE8CE7B8F}"/>
    <dgm:cxn modelId="{DCEAED7D-9FD1-4EC1-AE5B-CDE4CF4E662C}" type="presOf" srcId="{D12E1C3C-E60F-4DB2-B574-8BF0636F23C6}" destId="{0BD93774-5544-47E6-A145-4356ABA9BBD9}" srcOrd="0" destOrd="0" presId="urn:microsoft.com/office/officeart/2009/layout/CirclePictureHierarchy"/>
    <dgm:cxn modelId="{FC9C29BC-9A36-4E77-9F75-63718544A722}" type="presOf" srcId="{E56C7C4E-AC5E-4B58-889C-C4F9F4F6EC69}" destId="{8886C317-73EB-439B-AF8C-24AC2053367A}" srcOrd="0" destOrd="0" presId="urn:microsoft.com/office/officeart/2009/layout/CirclePictureHierarchy"/>
    <dgm:cxn modelId="{7D12296E-9008-4251-8CA4-267F1B299232}" type="presParOf" srcId="{343FD467-F3FB-46CF-BB12-385E867A5184}" destId="{B1A89F8C-C6D4-45D7-A95D-988D543CE467}" srcOrd="0" destOrd="0" presId="urn:microsoft.com/office/officeart/2009/layout/CirclePictureHierarchy"/>
    <dgm:cxn modelId="{D96DBEC6-4BAF-4FC8-A4E3-529D22843151}" type="presParOf" srcId="{B1A89F8C-C6D4-45D7-A95D-988D543CE467}" destId="{B80E2564-7341-4560-94FF-11EE2C253BA5}" srcOrd="0" destOrd="0" presId="urn:microsoft.com/office/officeart/2009/layout/CirclePictureHierarchy"/>
    <dgm:cxn modelId="{232C6B0F-F819-46C9-B9B6-0ADBB4F1D7E5}" type="presParOf" srcId="{B80E2564-7341-4560-94FF-11EE2C253BA5}" destId="{7B8EC359-1DC9-40A7-BE23-29B312694D6D}" srcOrd="0" destOrd="0" presId="urn:microsoft.com/office/officeart/2009/layout/CirclePictureHierarchy"/>
    <dgm:cxn modelId="{BC7E9BF4-CCC7-49E5-9B3C-55BB89B3814F}" type="presParOf" srcId="{B80E2564-7341-4560-94FF-11EE2C253BA5}" destId="{9F781E3E-3DC2-4767-882E-70745A7F3EC5}" srcOrd="1" destOrd="0" presId="urn:microsoft.com/office/officeart/2009/layout/CirclePictureHierarchy"/>
    <dgm:cxn modelId="{564E7889-BCFF-4052-822B-3240F7346805}" type="presParOf" srcId="{B1A89F8C-C6D4-45D7-A95D-988D543CE467}" destId="{64F02A9C-8D20-402F-86F0-015C5CD6677B}" srcOrd="1" destOrd="0" presId="urn:microsoft.com/office/officeart/2009/layout/CirclePictureHierarchy"/>
    <dgm:cxn modelId="{E4F03B0C-14B2-4096-8F37-27A690B27AD6}" type="presParOf" srcId="{64F02A9C-8D20-402F-86F0-015C5CD6677B}" destId="{0BD93774-5544-47E6-A145-4356ABA9BBD9}" srcOrd="0" destOrd="0" presId="urn:microsoft.com/office/officeart/2009/layout/CirclePictureHierarchy"/>
    <dgm:cxn modelId="{76959D0E-9A7D-489D-824A-03016E07319C}" type="presParOf" srcId="{64F02A9C-8D20-402F-86F0-015C5CD6677B}" destId="{0ABD5E6B-692E-41C4-8544-142283DA578C}" srcOrd="1" destOrd="0" presId="urn:microsoft.com/office/officeart/2009/layout/CirclePictureHierarchy"/>
    <dgm:cxn modelId="{55FFA3BF-0B64-4A89-ABB7-D021A97B6427}" type="presParOf" srcId="{0ABD5E6B-692E-41C4-8544-142283DA578C}" destId="{BE0260C9-70DB-4433-806B-6DCA26C492CE}" srcOrd="0" destOrd="0" presId="urn:microsoft.com/office/officeart/2009/layout/CirclePictureHierarchy"/>
    <dgm:cxn modelId="{C7BF553C-28AD-4C11-A845-98260290A8C4}" type="presParOf" srcId="{BE0260C9-70DB-4433-806B-6DCA26C492CE}" destId="{BA7709C3-4A7D-4077-B8D4-23D52909BE2B}" srcOrd="0" destOrd="0" presId="urn:microsoft.com/office/officeart/2009/layout/CirclePictureHierarchy"/>
    <dgm:cxn modelId="{DC152646-D26F-441F-9420-D30CB1403EE3}" type="presParOf" srcId="{BE0260C9-70DB-4433-806B-6DCA26C492CE}" destId="{41289680-632B-42A4-BCE5-4C20A233DA89}" srcOrd="1" destOrd="0" presId="urn:microsoft.com/office/officeart/2009/layout/CirclePictureHierarchy"/>
    <dgm:cxn modelId="{4774E73F-6B83-4381-B589-53D1A3CAA9AF}" type="presParOf" srcId="{0ABD5E6B-692E-41C4-8544-142283DA578C}" destId="{DB3FD418-A445-44D7-8691-DCB43991B827}" srcOrd="1" destOrd="0" presId="urn:microsoft.com/office/officeart/2009/layout/CirclePictureHierarchy"/>
    <dgm:cxn modelId="{F6598BA0-DF5E-4E19-8403-CF487E70E315}" type="presParOf" srcId="{DB3FD418-A445-44D7-8691-DCB43991B827}" destId="{8886C317-73EB-439B-AF8C-24AC2053367A}" srcOrd="0" destOrd="0" presId="urn:microsoft.com/office/officeart/2009/layout/CirclePictureHierarchy"/>
    <dgm:cxn modelId="{1852DA2E-8F6B-447F-A11C-E7EF4C03B6B4}" type="presParOf" srcId="{DB3FD418-A445-44D7-8691-DCB43991B827}" destId="{A392556A-C14F-4D54-AEFD-C721D44F7C5A}" srcOrd="1" destOrd="0" presId="urn:microsoft.com/office/officeart/2009/layout/CirclePictureHierarchy"/>
    <dgm:cxn modelId="{56ADF243-77A1-4865-808E-698A6D621D4D}" type="presParOf" srcId="{A392556A-C14F-4D54-AEFD-C721D44F7C5A}" destId="{377AC492-B950-47F0-9EE1-17681839B577}" srcOrd="0" destOrd="0" presId="urn:microsoft.com/office/officeart/2009/layout/CirclePictureHierarchy"/>
    <dgm:cxn modelId="{03F8954C-3C7A-461D-8D01-9FAA1605AA0B}" type="presParOf" srcId="{377AC492-B950-47F0-9EE1-17681839B577}" destId="{D5E7A8B0-6A3A-4D79-A0D2-3741B750C434}" srcOrd="0" destOrd="0" presId="urn:microsoft.com/office/officeart/2009/layout/CirclePictureHierarchy"/>
    <dgm:cxn modelId="{95135ABD-CB11-4947-8E24-3393F7CC625D}" type="presParOf" srcId="{377AC492-B950-47F0-9EE1-17681839B577}" destId="{C7C737C7-06D8-49B6-8471-838B1324602B}" srcOrd="1" destOrd="0" presId="urn:microsoft.com/office/officeart/2009/layout/CirclePictureHierarchy"/>
    <dgm:cxn modelId="{6489907A-2BC0-4EF9-B684-5409909303EE}" type="presParOf" srcId="{A392556A-C14F-4D54-AEFD-C721D44F7C5A}" destId="{792C1E6D-1E13-47DE-8446-FEC633A56940}" srcOrd="1" destOrd="0" presId="urn:microsoft.com/office/officeart/2009/layout/CirclePictureHierarchy"/>
    <dgm:cxn modelId="{24A82C1F-D7AB-4B20-B0F5-75451288E47C}" type="presParOf" srcId="{DB3FD418-A445-44D7-8691-DCB43991B827}" destId="{41B01B65-88F7-4158-BFC4-30E0EF0E5D42}" srcOrd="2" destOrd="0" presId="urn:microsoft.com/office/officeart/2009/layout/CirclePictureHierarchy"/>
    <dgm:cxn modelId="{43A3CC8A-8999-4D6F-A54E-EDFD0CA215FC}" type="presParOf" srcId="{DB3FD418-A445-44D7-8691-DCB43991B827}" destId="{0F59BE54-BEE8-484E-B9A1-BB01042F8041}" srcOrd="3" destOrd="0" presId="urn:microsoft.com/office/officeart/2009/layout/CirclePictureHierarchy"/>
    <dgm:cxn modelId="{B4C8F081-4D2F-49A1-86D9-48BD95F37ED1}" type="presParOf" srcId="{0F59BE54-BEE8-484E-B9A1-BB01042F8041}" destId="{BCFEE3CA-EBCD-40D1-AC85-AF8CCDB0088D}" srcOrd="0" destOrd="0" presId="urn:microsoft.com/office/officeart/2009/layout/CirclePictureHierarchy"/>
    <dgm:cxn modelId="{630C1D7B-1797-4BCE-BC35-C044A11B4FFE}" type="presParOf" srcId="{BCFEE3CA-EBCD-40D1-AC85-AF8CCDB0088D}" destId="{B723AF5F-FDBC-4CAD-B15D-2D38F9A0770C}" srcOrd="0" destOrd="0" presId="urn:microsoft.com/office/officeart/2009/layout/CirclePictureHierarchy"/>
    <dgm:cxn modelId="{7B913FD2-5691-4CE3-B164-C2BE63976326}" type="presParOf" srcId="{BCFEE3CA-EBCD-40D1-AC85-AF8CCDB0088D}" destId="{6A8A9762-97A0-4179-96E8-58A267043AA7}" srcOrd="1" destOrd="0" presId="urn:microsoft.com/office/officeart/2009/layout/CirclePictureHierarchy"/>
    <dgm:cxn modelId="{B911DBC9-4838-416A-B0E2-9E7BB6C00E54}" type="presParOf" srcId="{0F59BE54-BEE8-484E-B9A1-BB01042F8041}" destId="{E2DDB516-C27C-44AF-A684-E947AD9E08BD}" srcOrd="1" destOrd="0" presId="urn:microsoft.com/office/officeart/2009/layout/CirclePictureHierarchy"/>
    <dgm:cxn modelId="{98D0BFDA-46F1-4369-8FF2-6457135BA4B1}" type="presParOf" srcId="{64F02A9C-8D20-402F-86F0-015C5CD6677B}" destId="{CE07A075-C6A1-4671-9E47-E00AACDC435B}" srcOrd="2" destOrd="0" presId="urn:microsoft.com/office/officeart/2009/layout/CirclePictureHierarchy"/>
    <dgm:cxn modelId="{216CFE42-E7D0-4B51-B548-729F213FA53D}" type="presParOf" srcId="{64F02A9C-8D20-402F-86F0-015C5CD6677B}" destId="{3EFC0676-4ADC-4382-AFC5-7785DD8A0D4A}" srcOrd="3" destOrd="0" presId="urn:microsoft.com/office/officeart/2009/layout/CirclePictureHierarchy"/>
    <dgm:cxn modelId="{F8E2792B-4CD1-4DA6-B8C1-C94FD9250F9F}" type="presParOf" srcId="{3EFC0676-4ADC-4382-AFC5-7785DD8A0D4A}" destId="{70772DD0-DD3C-41AC-9BE0-FA5E35EDC956}" srcOrd="0" destOrd="0" presId="urn:microsoft.com/office/officeart/2009/layout/CirclePictureHierarchy"/>
    <dgm:cxn modelId="{16505B6E-6F04-4BC2-816D-BF21FBD3BFAD}" type="presParOf" srcId="{70772DD0-DD3C-41AC-9BE0-FA5E35EDC956}" destId="{0E01F25D-3137-42B4-8BD4-03972C203C14}" srcOrd="0" destOrd="0" presId="urn:microsoft.com/office/officeart/2009/layout/CirclePictureHierarchy"/>
    <dgm:cxn modelId="{7D2F7234-2114-4E36-8060-2E0DF877518E}" type="presParOf" srcId="{70772DD0-DD3C-41AC-9BE0-FA5E35EDC956}" destId="{0060D829-33CC-4C76-8842-21284DEF264C}" srcOrd="1" destOrd="0" presId="urn:microsoft.com/office/officeart/2009/layout/CirclePictureHierarchy"/>
    <dgm:cxn modelId="{EF703541-F62C-4B4E-B9FD-E98F1EE1242A}" type="presParOf" srcId="{3EFC0676-4ADC-4382-AFC5-7785DD8A0D4A}" destId="{26D5A822-8DFB-4B65-9775-3785A960924A}" srcOrd="1" destOrd="0" presId="urn:microsoft.com/office/officeart/2009/layout/CirclePictureHierarchy"/>
    <dgm:cxn modelId="{648E942A-09E6-48B0-AEE1-E55C1565EA5E}" type="presParOf" srcId="{26D5A822-8DFB-4B65-9775-3785A960924A}" destId="{00CFC339-A71B-4DCF-A73A-8C8431BD8F3B}" srcOrd="0" destOrd="0" presId="urn:microsoft.com/office/officeart/2009/layout/CirclePictureHierarchy"/>
    <dgm:cxn modelId="{61A635A0-6495-4AEF-BDF3-F2CCCFB57F29}" type="presParOf" srcId="{26D5A822-8DFB-4B65-9775-3785A960924A}" destId="{FBD27A44-5684-42B8-9137-0905DBDB55B1}" srcOrd="1" destOrd="0" presId="urn:microsoft.com/office/officeart/2009/layout/CirclePictureHierarchy"/>
    <dgm:cxn modelId="{50ACEAC4-5E65-44CA-B5EA-FFA5F74AC2A9}" type="presParOf" srcId="{FBD27A44-5684-42B8-9137-0905DBDB55B1}" destId="{4FFA733C-3C53-4540-99F5-8BDC48A03509}" srcOrd="0" destOrd="0" presId="urn:microsoft.com/office/officeart/2009/layout/CirclePictureHierarchy"/>
    <dgm:cxn modelId="{2913C5BE-E9C7-4B6B-8559-6854FCCF17F0}" type="presParOf" srcId="{4FFA733C-3C53-4540-99F5-8BDC48A03509}" destId="{62585ED3-DD1F-468F-8727-16492DB18598}" srcOrd="0" destOrd="0" presId="urn:microsoft.com/office/officeart/2009/layout/CirclePictureHierarchy"/>
    <dgm:cxn modelId="{771348C7-8A43-40ED-ABED-88ABFA55B716}" type="presParOf" srcId="{4FFA733C-3C53-4540-99F5-8BDC48A03509}" destId="{A04719F1-4AB0-48E7-B90A-7127CA78C5DA}" srcOrd="1" destOrd="0" presId="urn:microsoft.com/office/officeart/2009/layout/CirclePictureHierarchy"/>
    <dgm:cxn modelId="{6A7BBD5F-613D-4EEA-8ECD-2C744C2E436F}" type="presParOf" srcId="{FBD27A44-5684-42B8-9137-0905DBDB55B1}" destId="{394CE9F0-BC87-467D-9DEA-8BFF3DCB5242}" srcOrd="1" destOrd="0" presId="urn:microsoft.com/office/officeart/2009/layout/CirclePictureHierarchy"/>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0CFC339-A71B-4DCF-A73A-8C8431BD8F3B}">
      <dsp:nvSpPr>
        <dsp:cNvPr id="0" name=""/>
        <dsp:cNvSpPr/>
      </dsp:nvSpPr>
      <dsp:spPr>
        <a:xfrm>
          <a:off x="3383280" y="1658064"/>
          <a:ext cx="91440" cy="180022"/>
        </a:xfrm>
        <a:custGeom>
          <a:avLst/>
          <a:gdLst/>
          <a:ahLst/>
          <a:cxnLst/>
          <a:rect l="0" t="0" r="0" b="0"/>
          <a:pathLst>
            <a:path>
              <a:moveTo>
                <a:pt x="45720" y="0"/>
              </a:moveTo>
              <a:lnTo>
                <a:pt x="4572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CE07A075-C6A1-4671-9E47-E00AACDC435B}">
      <dsp:nvSpPr>
        <dsp:cNvPr id="0" name=""/>
        <dsp:cNvSpPr/>
      </dsp:nvSpPr>
      <dsp:spPr>
        <a:xfrm>
          <a:off x="2250281" y="906541"/>
          <a:ext cx="1178718" cy="180022"/>
        </a:xfrm>
        <a:custGeom>
          <a:avLst/>
          <a:gdLst/>
          <a:ahLst/>
          <a:cxnLst/>
          <a:rect l="0" t="0" r="0" b="0"/>
          <a:pathLst>
            <a:path>
              <a:moveTo>
                <a:pt x="0" y="0"/>
              </a:moveTo>
              <a:lnTo>
                <a:pt x="0" y="90725"/>
              </a:lnTo>
              <a:lnTo>
                <a:pt x="1178718" y="90725"/>
              </a:lnTo>
              <a:lnTo>
                <a:pt x="1178718"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1B01B65-88F7-4158-BFC4-30E0EF0E5D42}">
      <dsp:nvSpPr>
        <dsp:cNvPr id="0" name=""/>
        <dsp:cNvSpPr/>
      </dsp:nvSpPr>
      <dsp:spPr>
        <a:xfrm>
          <a:off x="1071562" y="1658064"/>
          <a:ext cx="785812" cy="180022"/>
        </a:xfrm>
        <a:custGeom>
          <a:avLst/>
          <a:gdLst/>
          <a:ahLst/>
          <a:cxnLst/>
          <a:rect l="0" t="0" r="0" b="0"/>
          <a:pathLst>
            <a:path>
              <a:moveTo>
                <a:pt x="0" y="0"/>
              </a:moveTo>
              <a:lnTo>
                <a:pt x="0" y="90725"/>
              </a:lnTo>
              <a:lnTo>
                <a:pt x="785812" y="90725"/>
              </a:lnTo>
              <a:lnTo>
                <a:pt x="785812"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8886C317-73EB-439B-AF8C-24AC2053367A}">
      <dsp:nvSpPr>
        <dsp:cNvPr id="0" name=""/>
        <dsp:cNvSpPr/>
      </dsp:nvSpPr>
      <dsp:spPr>
        <a:xfrm>
          <a:off x="285749" y="1658064"/>
          <a:ext cx="785812" cy="180022"/>
        </a:xfrm>
        <a:custGeom>
          <a:avLst/>
          <a:gdLst/>
          <a:ahLst/>
          <a:cxnLst/>
          <a:rect l="0" t="0" r="0" b="0"/>
          <a:pathLst>
            <a:path>
              <a:moveTo>
                <a:pt x="785812" y="0"/>
              </a:moveTo>
              <a:lnTo>
                <a:pt x="785812" y="90725"/>
              </a:lnTo>
              <a:lnTo>
                <a:pt x="0" y="90725"/>
              </a:lnTo>
              <a:lnTo>
                <a:pt x="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BD93774-5544-47E6-A145-4356ABA9BBD9}">
      <dsp:nvSpPr>
        <dsp:cNvPr id="0" name=""/>
        <dsp:cNvSpPr/>
      </dsp:nvSpPr>
      <dsp:spPr>
        <a:xfrm>
          <a:off x="1071562" y="906541"/>
          <a:ext cx="1178718" cy="180022"/>
        </a:xfrm>
        <a:custGeom>
          <a:avLst/>
          <a:gdLst/>
          <a:ahLst/>
          <a:cxnLst/>
          <a:rect l="0" t="0" r="0" b="0"/>
          <a:pathLst>
            <a:path>
              <a:moveTo>
                <a:pt x="1178718" y="0"/>
              </a:moveTo>
              <a:lnTo>
                <a:pt x="1178718" y="90725"/>
              </a:lnTo>
              <a:lnTo>
                <a:pt x="0" y="90725"/>
              </a:lnTo>
              <a:lnTo>
                <a:pt x="0"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7B8EC359-1DC9-40A7-BE23-29B312694D6D}">
      <dsp:nvSpPr>
        <dsp:cNvPr id="0" name=""/>
        <dsp:cNvSpPr/>
      </dsp:nvSpPr>
      <dsp:spPr>
        <a:xfrm>
          <a:off x="1964531" y="335041"/>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9F781E3E-3DC2-4767-882E-70745A7F3EC5}">
      <dsp:nvSpPr>
        <dsp:cNvPr id="0" name=""/>
        <dsp:cNvSpPr/>
      </dsp:nvSpPr>
      <dsp:spPr>
        <a:xfrm>
          <a:off x="2536031" y="333613"/>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536031" y="333613"/>
        <a:ext cx="857250" cy="571499"/>
      </dsp:txXfrm>
    </dsp:sp>
    <dsp:sp modelId="{BA7709C3-4A7D-4077-B8D4-23D52909BE2B}">
      <dsp:nvSpPr>
        <dsp:cNvPr id="0" name=""/>
        <dsp:cNvSpPr/>
      </dsp:nvSpPr>
      <dsp:spPr>
        <a:xfrm>
          <a:off x="785812"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41289680-632B-42A4-BCE5-4C20A233DA89}">
      <dsp:nvSpPr>
        <dsp:cNvPr id="0" name=""/>
        <dsp:cNvSpPr/>
      </dsp:nvSpPr>
      <dsp:spPr>
        <a:xfrm>
          <a:off x="1357312"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1357312" y="1085135"/>
        <a:ext cx="857250" cy="571499"/>
      </dsp:txXfrm>
    </dsp:sp>
    <dsp:sp modelId="{D5E7A8B0-6A3A-4D79-A0D2-3741B750C434}">
      <dsp:nvSpPr>
        <dsp:cNvPr id="0" name=""/>
        <dsp:cNvSpPr/>
      </dsp:nvSpPr>
      <dsp:spPr>
        <a:xfrm>
          <a:off x="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7C737C7-06D8-49B6-8471-838B1324602B}">
      <dsp:nvSpPr>
        <dsp:cNvPr id="0" name=""/>
        <dsp:cNvSpPr/>
      </dsp:nvSpPr>
      <dsp:spPr>
        <a:xfrm>
          <a:off x="571499"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571499" y="1836658"/>
        <a:ext cx="857250" cy="571499"/>
      </dsp:txXfrm>
    </dsp:sp>
    <dsp:sp modelId="{B723AF5F-FDBC-4CAD-B15D-2D38F9A0770C}">
      <dsp:nvSpPr>
        <dsp:cNvPr id="0" name=""/>
        <dsp:cNvSpPr/>
      </dsp:nvSpPr>
      <dsp:spPr>
        <a:xfrm>
          <a:off x="1571624"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6A8A9762-97A0-4179-96E8-58A267043AA7}">
      <dsp:nvSpPr>
        <dsp:cNvPr id="0" name=""/>
        <dsp:cNvSpPr/>
      </dsp:nvSpPr>
      <dsp:spPr>
        <a:xfrm>
          <a:off x="2143125"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143125" y="1836658"/>
        <a:ext cx="857250" cy="571499"/>
      </dsp:txXfrm>
    </dsp:sp>
    <dsp:sp modelId="{0E01F25D-3137-42B4-8BD4-03972C203C14}">
      <dsp:nvSpPr>
        <dsp:cNvPr id="0" name=""/>
        <dsp:cNvSpPr/>
      </dsp:nvSpPr>
      <dsp:spPr>
        <a:xfrm>
          <a:off x="3143250"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0060D829-33CC-4C76-8842-21284DEF264C}">
      <dsp:nvSpPr>
        <dsp:cNvPr id="0" name=""/>
        <dsp:cNvSpPr/>
      </dsp:nvSpPr>
      <dsp:spPr>
        <a:xfrm>
          <a:off x="3714750"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085135"/>
        <a:ext cx="857250" cy="571499"/>
      </dsp:txXfrm>
    </dsp:sp>
    <dsp:sp modelId="{62585ED3-DD1F-468F-8727-16492DB18598}">
      <dsp:nvSpPr>
        <dsp:cNvPr id="0" name=""/>
        <dsp:cNvSpPr/>
      </dsp:nvSpPr>
      <dsp:spPr>
        <a:xfrm>
          <a:off x="314325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A04719F1-4AB0-48E7-B90A-7127CA78C5DA}">
      <dsp:nvSpPr>
        <dsp:cNvPr id="0" name=""/>
        <dsp:cNvSpPr/>
      </dsp:nvSpPr>
      <dsp:spPr>
        <a:xfrm>
          <a:off x="3714750"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836658"/>
        <a:ext cx="857250" cy="571499"/>
      </dsp:txXfrm>
    </dsp:sp>
  </dsp:spTree>
</dsp:drawing>
</file>

<file path=xl/diagrams/layout1.xml><?xml version="1.0" encoding="utf-8"?>
<dgm:layoutDef xmlns:dgm="http://schemas.openxmlformats.org/drawingml/2006/diagram" xmlns:a="http://schemas.openxmlformats.org/drawingml/2006/main" uniqueId="urn:microsoft.com/office/officeart/2009/layout/CirclePictureHierarchy">
  <dgm:title val=""/>
  <dgm:desc val=""/>
  <dgm:catLst>
    <dgm:cat type="hierarchy" pri="1750"/>
    <dgm:cat type="picture" pri="23000"/>
    <dgm:cat type="pictureconvert" pri="23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5"/>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h" for="ch" forName="image" refType="h" fact="0.8"/>
              <dgm:constr type="w" for="ch" forName="image" refType="h" refFor="ch" refForName="image"/>
              <dgm:constr type="t" for="ch" forName="image" refType="h" fact="0.1"/>
              <dgm:constr type="l" for="ch" forName="image"/>
              <dgm:constr type="w" for="ch" forName="text" refType="w" fact="0.6"/>
              <dgm:constr type="h" for="ch" forName="text" refType="h" fact="0.8"/>
              <dgm:constr type="t" for="ch" forName="text" refType="w" fact="0.04"/>
              <dgm:constr type="l" for="ch" forName="text" refType="w" fact="0.4"/>
            </dgm:constrLst>
            <dgm:ruleLst/>
            <dgm:layoutNode name="image" styleLbl="node0">
              <dgm:alg type="sp"/>
              <dgm:shape xmlns:r="http://schemas.openxmlformats.org/officeDocument/2006/relationships" type="ellipse" r:blip="" blipPhldr="1">
                <dgm:adjLst/>
              </dgm:shape>
              <dgm:presOf/>
              <dgm:constrLst/>
              <dgm:ruleLst/>
            </dgm:layoutNode>
            <dgm:layoutNode name="text"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image"/>
                    <dgm:param type="dstNode" val="image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h" for="ch" forName="image2" refType="h" fact="0.8"/>
                      <dgm:constr type="w" for="ch" forName="image2" refType="h" refFor="ch" refForName="image2"/>
                      <dgm:constr type="t" for="ch" forName="image2" refType="h" fact="0.1"/>
                      <dgm:constr type="l" for="ch" forName="image2"/>
                      <dgm:constr type="w" for="ch" forName="text2" refType="w" fact="0.6"/>
                      <dgm:constr type="h" for="ch" forName="text2" refType="h" fact="0.8"/>
                      <dgm:constr type="t" for="ch" forName="text2" refType="w" fact="0.04"/>
                      <dgm:constr type="l" for="ch" forName="text2" refType="w" fact="0.4"/>
                    </dgm:constrLst>
                    <dgm:ruleLst/>
                    <dgm:layoutNode name="image2">
                      <dgm:alg type="sp"/>
                      <dgm:shape xmlns:r="http://schemas.openxmlformats.org/officeDocument/2006/relationships" type="ellipse" r:blip="" blipPhldr="1">
                        <dgm:adjLst/>
                      </dgm:shape>
                      <dgm:presOf/>
                      <dgm:constrLst/>
                      <dgm:ruleLst/>
                    </dgm:layoutNode>
                    <dgm:layoutNode name="text2"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image2"/>
                            <dgm:param type="dstNode" val="image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h" for="ch" forName="image3" refType="h" fact="0.8"/>
                              <dgm:constr type="w" for="ch" forName="image3" refType="h" refFor="ch" refForName="image3"/>
                              <dgm:constr type="t" for="ch" forName="image3" refType="h" fact="0.1"/>
                              <dgm:constr type="l" for="ch" forName="image3"/>
                              <dgm:constr type="w" for="ch" forName="text3" refType="w" fact="0.6"/>
                              <dgm:constr type="h" for="ch" forName="text3" refType="h" fact="0.8"/>
                              <dgm:constr type="t" for="ch" forName="text3" refType="w" fact="0.04"/>
                              <dgm:constr type="l" for="ch" forName="text3" refType="w" fact="0.4"/>
                            </dgm:constrLst>
                            <dgm:ruleLst/>
                            <dgm:layoutNode name="image3">
                              <dgm:alg type="sp"/>
                              <dgm:shape xmlns:r="http://schemas.openxmlformats.org/officeDocument/2006/relationships" type="ellipse" r:blip="" blipPhldr="1">
                                <dgm:adjLst/>
                              </dgm:shape>
                              <dgm:presOf/>
                              <dgm:constrLst/>
                              <dgm:ruleLst/>
                            </dgm:layoutNode>
                            <dgm:layoutNode name="text3"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image3"/>
                                        <dgm:param type="dstNode" val="image4"/>
                                      </dgm:alg>
                                    </dgm:if>
                                    <dgm:else name="Name26">
                                      <dgm:alg type="conn">
                                        <dgm:param type="dim" val="1D"/>
                                        <dgm:param type="endSty" val="noArr"/>
                                        <dgm:param type="connRout" val="bend"/>
                                        <dgm:param type="bendPt" val="end"/>
                                        <dgm:param type="begPts" val="bCtr"/>
                                        <dgm:param type="endPts" val="tCtr"/>
                                        <dgm:param type="srcNode" val="image4"/>
                                        <dgm:param type="dstNode" val="image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h" for="ch" forName="image4" refType="h" fact="0.8"/>
                                      <dgm:constr type="w" for="ch" forName="image4" refType="h" refFor="ch" refForName="image4"/>
                                      <dgm:constr type="t" for="ch" forName="image4" refType="h" fact="0.1"/>
                                      <dgm:constr type="l" for="ch" forName="image4"/>
                                      <dgm:constr type="w" for="ch" forName="text4" refType="w" fact="0.6"/>
                                      <dgm:constr type="h" for="ch" forName="text4" refType="h" fact="0.8"/>
                                      <dgm:constr type="t" for="ch" forName="text4" refType="w" fact="0.04"/>
                                      <dgm:constr type="l" for="ch" forName="text4" refType="w" fact="0.4"/>
                                    </dgm:constrLst>
                                    <dgm:ruleLst/>
                                    <dgm:layoutNode name="image4">
                                      <dgm:alg type="sp"/>
                                      <dgm:shape xmlns:r="http://schemas.openxmlformats.org/officeDocument/2006/relationships" type="ellipse" r:blip="" blipPhldr="1">
                                        <dgm:adjLst/>
                                      </dgm:shape>
                                      <dgm:presOf/>
                                      <dgm:constrLst/>
                                      <dgm:ruleLst/>
                                    </dgm:layoutNode>
                                    <dgm:layoutNode name="text4"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12" Type="http://schemas.openxmlformats.org/officeDocument/2006/relationships/chart" Target="../charts/chart11.xml"/><Relationship Id="rId2" Type="http://schemas.openxmlformats.org/officeDocument/2006/relationships/chart" Target="../charts/chart1.xml"/><Relationship Id="rId1" Type="http://schemas.openxmlformats.org/officeDocument/2006/relationships/image" Target="../media/image3.png"/><Relationship Id="rId6" Type="http://schemas.openxmlformats.org/officeDocument/2006/relationships/chart" Target="../charts/chart5.xml"/><Relationship Id="rId11" Type="http://schemas.openxmlformats.org/officeDocument/2006/relationships/chart" Target="../charts/chart10.xml"/><Relationship Id="rId5" Type="http://schemas.openxmlformats.org/officeDocument/2006/relationships/chart" Target="../charts/chart4.xml"/><Relationship Id="rId10" Type="http://schemas.openxmlformats.org/officeDocument/2006/relationships/chart" Target="../charts/chart9.xml"/><Relationship Id="rId4" Type="http://schemas.openxmlformats.org/officeDocument/2006/relationships/chart" Target="../charts/chart3.xml"/><Relationship Id="rId9" Type="http://schemas.openxmlformats.org/officeDocument/2006/relationships/chart" Target="../charts/chart8.xml"/></Relationships>
</file>

<file path=xl/drawings/_rels/drawing5.xml.rels><?xml version="1.0" encoding="UTF-8" standalone="yes"?>
<Relationships xmlns="http://schemas.openxmlformats.org/package/2006/relationships"><Relationship Id="rId8" Type="http://schemas.openxmlformats.org/officeDocument/2006/relationships/chart" Target="../charts/chart18.xml"/><Relationship Id="rId3" Type="http://schemas.openxmlformats.org/officeDocument/2006/relationships/chart" Target="../charts/chart13.xml"/><Relationship Id="rId7" Type="http://schemas.openxmlformats.org/officeDocument/2006/relationships/chart" Target="../charts/chart17.xml"/><Relationship Id="rId2" Type="http://schemas.openxmlformats.org/officeDocument/2006/relationships/chart" Target="../charts/chart12.xml"/><Relationship Id="rId1" Type="http://schemas.openxmlformats.org/officeDocument/2006/relationships/image" Target="../media/image3.png"/><Relationship Id="rId6" Type="http://schemas.openxmlformats.org/officeDocument/2006/relationships/chart" Target="../charts/chart16.xml"/><Relationship Id="rId11" Type="http://schemas.openxmlformats.org/officeDocument/2006/relationships/chart" Target="../charts/chart21.xml"/><Relationship Id="rId5" Type="http://schemas.openxmlformats.org/officeDocument/2006/relationships/chart" Target="../charts/chart15.xml"/><Relationship Id="rId10" Type="http://schemas.openxmlformats.org/officeDocument/2006/relationships/chart" Target="../charts/chart20.xml"/><Relationship Id="rId4" Type="http://schemas.openxmlformats.org/officeDocument/2006/relationships/chart" Target="../charts/chart14.xml"/><Relationship Id="rId9" Type="http://schemas.openxmlformats.org/officeDocument/2006/relationships/chart" Target="../charts/chart19.xml"/></Relationships>
</file>

<file path=xl/drawings/_rels/drawing6.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17</xdr:col>
          <xdr:colOff>76200</xdr:colOff>
          <xdr:row>39</xdr:row>
          <xdr:rowOff>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0100-0000019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16908</xdr:colOff>
      <xdr:row>1</xdr:row>
      <xdr:rowOff>40821</xdr:rowOff>
    </xdr:from>
    <xdr:to>
      <xdr:col>31</xdr:col>
      <xdr:colOff>135402</xdr:colOff>
      <xdr:row>61</xdr:row>
      <xdr:rowOff>107930</xdr:rowOff>
    </xdr:to>
    <xdr:grpSp>
      <xdr:nvGrpSpPr>
        <xdr:cNvPr id="2" name="Group 1"/>
        <xdr:cNvGrpSpPr/>
      </xdr:nvGrpSpPr>
      <xdr:grpSpPr>
        <a:xfrm>
          <a:off x="16908" y="204107"/>
          <a:ext cx="16569530" cy="9864252"/>
          <a:chOff x="65699" y="261859"/>
          <a:chExt cx="16863864" cy="10144486"/>
        </a:xfrm>
      </xdr:grpSpPr>
      <xdr:grpSp>
        <xdr:nvGrpSpPr>
          <xdr:cNvPr id="3" name="Group 2"/>
          <xdr:cNvGrpSpPr/>
        </xdr:nvGrpSpPr>
        <xdr:grpSpPr>
          <a:xfrm>
            <a:off x="65699" y="261859"/>
            <a:ext cx="16863864" cy="10144486"/>
            <a:chOff x="18010" y="573089"/>
            <a:chExt cx="17649356" cy="9783930"/>
          </a:xfrm>
        </xdr:grpSpPr>
        <xdr:grpSp>
          <xdr:nvGrpSpPr>
            <xdr:cNvPr id="5" name="Group 4"/>
            <xdr:cNvGrpSpPr/>
          </xdr:nvGrpSpPr>
          <xdr:grpSpPr>
            <a:xfrm>
              <a:off x="550768" y="573089"/>
              <a:ext cx="17116598" cy="9783930"/>
              <a:chOff x="550768" y="573089"/>
              <a:chExt cx="17116598" cy="9783930"/>
            </a:xfrm>
          </xdr:grpSpPr>
          <xdr:sp macro="" textlink="">
            <xdr:nvSpPr>
              <xdr:cNvPr id="7" name="Rectangle 6">
                <a:extLst>
                  <a:ext uri="{FF2B5EF4-FFF2-40B4-BE49-F238E27FC236}">
                    <a16:creationId xmlns:a16="http://schemas.microsoft.com/office/drawing/2014/main" id="{00000000-0008-0000-2000-000002000000}"/>
                  </a:ext>
                </a:extLst>
              </xdr:cNvPr>
              <xdr:cNvSpPr/>
            </xdr:nvSpPr>
            <xdr:spPr>
              <a:xfrm>
                <a:off x="550768" y="573089"/>
                <a:ext cx="17116598" cy="9783930"/>
              </a:xfrm>
              <a:prstGeom prst="rect">
                <a:avLst/>
              </a:prstGeom>
              <a:solidFill>
                <a:srgbClr val="0098DB"/>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US"/>
              </a:p>
            </xdr:txBody>
          </xdr:sp>
          <xdr:pic>
            <xdr:nvPicPr>
              <xdr:cNvPr id="8" name="Picture 7" descr="esa.png">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09762" y="940359"/>
                <a:ext cx="3349469" cy="1238617"/>
              </a:xfrm>
              <a:prstGeom prst="rect">
                <a:avLst/>
              </a:prstGeom>
            </xdr:spPr>
          </xdr:pic>
          <xdr:grpSp>
            <xdr:nvGrpSpPr>
              <xdr:cNvPr id="9" name="Group 8"/>
              <xdr:cNvGrpSpPr>
                <a:grpSpLocks noChangeAspect="1"/>
              </xdr:cNvGrpSpPr>
            </xdr:nvGrpSpPr>
            <xdr:grpSpPr>
              <a:xfrm>
                <a:off x="1200726" y="802517"/>
                <a:ext cx="2937929" cy="1524000"/>
                <a:chOff x="9020175" y="9034207"/>
                <a:chExt cx="1526176" cy="972344"/>
              </a:xfrm>
            </xdr:grpSpPr>
            <xdr:sp macro="" textlink="">
              <xdr:nvSpPr>
                <xdr:cNvPr id="11" name="Rectangle 10"/>
                <xdr:cNvSpPr/>
              </xdr:nvSpPr>
              <xdr:spPr>
                <a:xfrm>
                  <a:off x="9020175" y="9034207"/>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12" name="Picture 11" descr="CDF Logo.png"/>
                <xdr:cNvPicPr>
                  <a:picLocks noChangeAspect="1"/>
                </xdr:cNvPicPr>
              </xdr:nvPicPr>
              <xdr:blipFill>
                <a:blip xmlns:r="http://schemas.openxmlformats.org/officeDocument/2006/relationships" r:embed="rId2" cstate="print"/>
                <a:stretch>
                  <a:fillRect/>
                </a:stretch>
              </xdr:blipFill>
              <xdr:spPr>
                <a:xfrm>
                  <a:off x="9097001" y="9081833"/>
                  <a:ext cx="1449350" cy="890649"/>
                </a:xfrm>
                <a:prstGeom prst="rect">
                  <a:avLst/>
                </a:prstGeom>
              </xdr:spPr>
            </xdr:pic>
          </xdr:grpSp>
          <xdr:pic>
            <xdr:nvPicPr>
              <xdr:cNvPr id="10" name="Pictur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05686" y="8685579"/>
                <a:ext cx="2368019" cy="1062812"/>
              </a:xfrm>
              <a:prstGeom prst="rect">
                <a:avLst/>
              </a:prstGeom>
            </xdr:spPr>
          </xdr:pic>
        </xdr:grpSp>
        <xdr:sp macro="" textlink="">
          <xdr:nvSpPr>
            <xdr:cNvPr id="6" name="TextBox 7">
              <a:extLst>
                <a:ext uri="{FF2B5EF4-FFF2-40B4-BE49-F238E27FC236}">
                  <a16:creationId xmlns:a16="http://schemas.microsoft.com/office/drawing/2014/main" id="{00000000-0008-0000-2000-000006000000}"/>
                </a:ext>
              </a:extLst>
            </xdr:cNvPr>
            <xdr:cNvSpPr txBox="1"/>
          </xdr:nvSpPr>
          <xdr:spPr>
            <a:xfrm>
              <a:off x="18010" y="1392624"/>
              <a:ext cx="17116598" cy="7439392"/>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Academy's</a:t>
              </a:r>
              <a:br>
                <a:rPr lang="en-GB" sz="6600" b="1">
                  <a:solidFill>
                    <a:schemeClr val="bg1"/>
                  </a:solidFill>
                </a:rPr>
              </a:br>
              <a:r>
                <a:rPr lang="en-GB" sz="6600" b="1">
                  <a:solidFill>
                    <a:schemeClr val="bg1"/>
                  </a:solidFill>
                </a:rPr>
                <a:t>Concurrent Engineering Workshop</a:t>
              </a:r>
            </a:p>
            <a:p>
              <a:pPr algn="ctr"/>
              <a:r>
                <a:rPr lang="en-GB" sz="4800" b="1">
                  <a:solidFill>
                    <a:schemeClr val="bg1"/>
                  </a:solidFill>
                </a:rPr>
                <a:t>Calculation Sheet: Propulsion</a:t>
              </a:r>
            </a:p>
            <a:p>
              <a:pPr algn="ctr"/>
              <a:endParaRPr lang="en-GB" sz="4800" b="1">
                <a:solidFill>
                  <a:schemeClr val="bg1"/>
                </a:solidFill>
              </a:endParaRPr>
            </a:p>
            <a:p>
              <a:pPr algn="ctr"/>
              <a:r>
                <a:rPr lang="en-GB" sz="3600" b="1">
                  <a:solidFill>
                    <a:schemeClr val="bg1"/>
                  </a:solidFill>
                </a:rPr>
                <a:t>"The ISU/ESA calculation sheets are property of the International Space University (ISU) and European Space Agency (ESA). No part of this material may be reproduced, displayed, amended, distributed or otherwise used in any form or by any means, without written permission of ISU and ESA. Any unauthorised activity or use shall be an infringement of ISU's and ESA's intellectual property rights. ISU and ESA reserve the right to defend their rights and interests, including to seek for remedies."  </a:t>
              </a:r>
            </a:p>
            <a:p>
              <a:pPr algn="ctr"/>
              <a:endParaRPr lang="en-GB" sz="3600" b="1">
                <a:solidFill>
                  <a:schemeClr val="bg1"/>
                </a:solidFill>
              </a:endParaRPr>
            </a:p>
          </xdr:txBody>
        </xdr:sp>
      </xdr:grpSp>
      <xdr:sp macro="" textlink="">
        <xdr:nvSpPr>
          <xdr:cNvPr id="4" name="TextBox 7">
            <a:extLst>
              <a:ext uri="{FF2B5EF4-FFF2-40B4-BE49-F238E27FC236}">
                <a16:creationId xmlns:a16="http://schemas.microsoft.com/office/drawing/2014/main" id="{00000000-0008-0000-2000-000006000000}"/>
              </a:ext>
            </a:extLst>
          </xdr:cNvPr>
          <xdr:cNvSpPr txBox="1"/>
        </xdr:nvSpPr>
        <xdr:spPr>
          <a:xfrm>
            <a:off x="971549" y="8696331"/>
            <a:ext cx="12420601" cy="1047750"/>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en-GB" sz="3000" b="1">
                <a:solidFill>
                  <a:schemeClr val="bg1"/>
                </a:solidFill>
              </a:rPr>
              <a:t>The</a:t>
            </a:r>
            <a:r>
              <a:rPr lang="en-GB" sz="3000" b="1" baseline="0">
                <a:solidFill>
                  <a:schemeClr val="bg1"/>
                </a:solidFill>
              </a:rPr>
              <a:t> current version of this calculation sheet was improved in collaboration with the Politecnico di Torino.</a:t>
            </a:r>
            <a:endParaRPr lang="en-GB" sz="3000" b="1">
              <a:solidFill>
                <a:schemeClr val="bg1"/>
              </a:solidFill>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50800</xdr:rowOff>
    </xdr:from>
    <xdr:to>
      <xdr:col>27</xdr:col>
      <xdr:colOff>457200</xdr:colOff>
      <xdr:row>3</xdr:row>
      <xdr:rowOff>127000</xdr:rowOff>
    </xdr:to>
    <xdr:grpSp>
      <xdr:nvGrpSpPr>
        <xdr:cNvPr id="2" name="Group 1">
          <a:extLst>
            <a:ext uri="{FF2B5EF4-FFF2-40B4-BE49-F238E27FC236}">
              <a16:creationId xmlns:a16="http://schemas.microsoft.com/office/drawing/2014/main" id="{BC283C6F-03CE-45B6-9FFF-62EEB91978A5}"/>
            </a:ext>
          </a:extLst>
        </xdr:cNvPr>
        <xdr:cNvGrpSpPr>
          <a:grpSpLocks/>
        </xdr:cNvGrpSpPr>
      </xdr:nvGrpSpPr>
      <xdr:grpSpPr bwMode="auto">
        <a:xfrm>
          <a:off x="0" y="50800"/>
          <a:ext cx="14050736" cy="566057"/>
          <a:chOff x="9524" y="0"/>
          <a:chExt cx="14117503" cy="485600"/>
        </a:xfrm>
      </xdr:grpSpPr>
      <xdr:sp macro="" textlink="">
        <xdr:nvSpPr>
          <xdr:cNvPr id="3" name="Rectangle 2">
            <a:extLst>
              <a:ext uri="{FF2B5EF4-FFF2-40B4-BE49-F238E27FC236}">
                <a16:creationId xmlns:a16="http://schemas.microsoft.com/office/drawing/2014/main" id="{6C07232C-CB44-41E7-AF6F-2392C1F8A1EA}"/>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900"/>
          </a:p>
        </xdr:txBody>
      </xdr:sp>
      <xdr:sp macro="" textlink="">
        <xdr:nvSpPr>
          <xdr:cNvPr id="4" name="Rectangle 3">
            <a:extLst>
              <a:ext uri="{FF2B5EF4-FFF2-40B4-BE49-F238E27FC236}">
                <a16:creationId xmlns:a16="http://schemas.microsoft.com/office/drawing/2014/main" id="{792C0DEE-158B-42A9-9701-DF17AC465FE1}"/>
              </a:ext>
            </a:extLst>
          </xdr:cNvPr>
          <xdr:cNvSpPr/>
        </xdr:nvSpPr>
        <xdr:spPr>
          <a:xfrm>
            <a:off x="39552"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Propulsion</a:t>
            </a:r>
            <a:r>
              <a:rPr lang="en-US" sz="3200" kern="1200" baseline="0">
                <a:latin typeface="+mn-lt"/>
                <a:cs typeface="Times New Roman" pitchFamily="18" charset="0"/>
              </a:rPr>
              <a:t>- Objectives</a:t>
            </a:r>
            <a:endParaRPr lang="en-US" sz="3200" kern="1200">
              <a:latin typeface="+mn-lt"/>
              <a:cs typeface="Times New Roman" pitchFamily="18" charset="0"/>
            </a:endParaRPr>
          </a:p>
        </xdr:txBody>
      </xdr:sp>
    </xdr:grpSp>
    <xdr:clientData/>
  </xdr:twoCellAnchor>
  <xdr:twoCellAnchor>
    <xdr:from>
      <xdr:col>1</xdr:col>
      <xdr:colOff>272142</xdr:colOff>
      <xdr:row>4</xdr:row>
      <xdr:rowOff>108857</xdr:rowOff>
    </xdr:from>
    <xdr:to>
      <xdr:col>27</xdr:col>
      <xdr:colOff>362858</xdr:colOff>
      <xdr:row>36</xdr:row>
      <xdr:rowOff>99785</xdr:rowOff>
    </xdr:to>
    <xdr:sp macro="" textlink="">
      <xdr:nvSpPr>
        <xdr:cNvPr id="5" name="TextBox 4">
          <a:extLst>
            <a:ext uri="{FF2B5EF4-FFF2-40B4-BE49-F238E27FC236}">
              <a16:creationId xmlns:a16="http://schemas.microsoft.com/office/drawing/2014/main" id="{A0176FF6-C47C-4294-B77A-51AD7648E185}"/>
            </a:ext>
          </a:extLst>
        </xdr:cNvPr>
        <xdr:cNvSpPr txBox="1"/>
      </xdr:nvSpPr>
      <xdr:spPr>
        <a:xfrm>
          <a:off x="1084942" y="769257"/>
          <a:ext cx="21223516" cy="5274128"/>
        </a:xfrm>
        <a:prstGeom prst="rect">
          <a:avLst/>
        </a:prstGeom>
        <a:solidFill>
          <a:schemeClr val="accent5">
            <a:lumMod val="20000"/>
            <a:lumOff val="80000"/>
          </a:schemeClr>
        </a:solidFill>
        <a:ln>
          <a:solidFill>
            <a:schemeClr val="accent5"/>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algn="ctr"/>
          <a:r>
            <a:rPr lang="en-GB" sz="4800"/>
            <a:t>Objectives:</a:t>
          </a:r>
        </a:p>
        <a:p>
          <a:pPr algn="l"/>
          <a:r>
            <a:rPr lang="en-GB" sz="3200">
              <a:sym typeface="Wingdings 3" panose="05040102010807070707" pitchFamily="18" charset="2"/>
            </a:rPr>
            <a:t> To evaluate propellant mass and volume</a:t>
          </a: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evaluate propulsion system architecture ( chemical, electrical, type)</a:t>
          </a:r>
        </a:p>
        <a:p>
          <a:pPr marL="0" marR="0" lvl="0" indent="0" algn="l" defTabSz="914400" eaLnBrk="1" fontAlgn="auto" latinLnBrk="0" hangingPunct="1">
            <a:lnSpc>
              <a:spcPct val="100000"/>
            </a:lnSpc>
            <a:spcBef>
              <a:spcPts val="0"/>
            </a:spcBef>
            <a:spcAft>
              <a:spcPts val="0"/>
            </a:spcAft>
            <a:buClrTx/>
            <a:buSzTx/>
            <a:buFontTx/>
            <a:buNone/>
            <a:tabLst/>
            <a:defRPr/>
          </a:pPr>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rPr>
            <a:t> To sizing orbit control system</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3200" b="0" i="0" u="none" strike="noStrike" kern="0" cap="none" spc="0" normalizeH="0" baseline="0" noProof="0">
              <a:ln>
                <a:noFill/>
              </a:ln>
              <a:solidFill>
                <a:prstClr val="black"/>
              </a:solidFill>
              <a:effectLst/>
              <a:uLnTx/>
              <a:uFillTx/>
              <a:latin typeface="+mn-lt"/>
              <a:ea typeface="+mn-ea"/>
              <a:cs typeface="+mn-cs"/>
              <a:sym typeface="Wingdings 3" panose="05040102010807070707" pitchFamily="18" charset="2"/>
            </a:rPr>
            <a:t></a:t>
          </a:r>
          <a:r>
            <a:rPr kumimoji="0" lang="en-GB" sz="3200" b="0" i="0" u="none" strike="noStrike" kern="0" cap="none" spc="0" normalizeH="0" baseline="0" noProof="0">
              <a:ln>
                <a:noFill/>
              </a:ln>
              <a:solidFill>
                <a:prstClr val="black"/>
              </a:solidFill>
              <a:effectLst/>
              <a:uLnTx/>
              <a:uFillTx/>
              <a:latin typeface="+mn-lt"/>
              <a:ea typeface="+mn-ea"/>
              <a:cs typeface="+mn-cs"/>
            </a:rPr>
            <a:t> To evaluate constellations separation maneuver ( if needed)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3200" b="0" i="0" u="none" strike="noStrike" kern="0" cap="none" spc="0" normalizeH="0" baseline="0" noProof="0">
            <a:ln>
              <a:noFill/>
            </a:ln>
            <a:solidFill>
              <a:prstClr val="black"/>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baseline="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baseline="0">
            <a:sym typeface="Wingdings 3" panose="05040102010807070707" pitchFamily="18" charset="2"/>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a:effectLst/>
          </a:endParaRPr>
        </a:p>
        <a:p>
          <a:pPr algn="l"/>
          <a:endParaRPr lang="en-GB" sz="3200" baseline="0">
            <a:solidFill>
              <a:schemeClr val="dk1"/>
            </a:solidFill>
            <a:effectLst/>
            <a:latin typeface="+mn-lt"/>
            <a:ea typeface="+mn-ea"/>
            <a:cs typeface="+mn-cs"/>
            <a:sym typeface="Wingdings 3" panose="05040102010807070707" pitchFamily="18" charset="2"/>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85726</xdr:colOff>
      <xdr:row>0</xdr:row>
      <xdr:rowOff>85725</xdr:rowOff>
    </xdr:from>
    <xdr:to>
      <xdr:col>9</xdr:col>
      <xdr:colOff>504826</xdr:colOff>
      <xdr:row>0</xdr:row>
      <xdr:rowOff>457200</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85726" y="85725"/>
          <a:ext cx="11014529" cy="371475"/>
          <a:chOff x="9524" y="0"/>
          <a:chExt cx="14087475" cy="485600"/>
        </a:xfrm>
      </xdr:grpSpPr>
      <xdr:sp macro="" textlink="">
        <xdr:nvSpPr>
          <xdr:cNvPr id="3" name="Rectangle 2">
            <a:extLst>
              <a:ext uri="{FF2B5EF4-FFF2-40B4-BE49-F238E27FC236}">
                <a16:creationId xmlns:a16="http://schemas.microsoft.com/office/drawing/2014/main" id="{00000000-0008-0000-03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3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Chemical</a:t>
            </a:r>
            <a:r>
              <a:rPr lang="en-US" sz="2200" kern="1200" baseline="0"/>
              <a:t> </a:t>
            </a:r>
            <a:r>
              <a:rPr lang="en-US" sz="2200" kern="1200"/>
              <a:t>Propulsion System Sizing</a:t>
            </a:r>
          </a:p>
        </xdr:txBody>
      </xdr:sp>
    </xdr:grpSp>
    <xdr:clientData/>
  </xdr:twoCellAnchor>
  <xdr:twoCellAnchor>
    <xdr:from>
      <xdr:col>8</xdr:col>
      <xdr:colOff>295275</xdr:colOff>
      <xdr:row>0</xdr:row>
      <xdr:rowOff>104775</xdr:rowOff>
    </xdr:from>
    <xdr:to>
      <xdr:col>9</xdr:col>
      <xdr:colOff>484610</xdr:colOff>
      <xdr:row>0</xdr:row>
      <xdr:rowOff>428625</xdr:rowOff>
    </xdr:to>
    <xdr:grpSp>
      <xdr:nvGrpSpPr>
        <xdr:cNvPr id="5" name="Group 4">
          <a:extLst>
            <a:ext uri="{FF2B5EF4-FFF2-40B4-BE49-F238E27FC236}">
              <a16:creationId xmlns:a16="http://schemas.microsoft.com/office/drawing/2014/main" id="{00000000-0008-0000-0300-000005000000}"/>
            </a:ext>
          </a:extLst>
        </xdr:cNvPr>
        <xdr:cNvGrpSpPr>
          <a:grpSpLocks noChangeAspect="1"/>
        </xdr:cNvGrpSpPr>
      </xdr:nvGrpSpPr>
      <xdr:grpSpPr>
        <a:xfrm>
          <a:off x="10346418" y="104775"/>
          <a:ext cx="733621" cy="323850"/>
          <a:chOff x="9020175" y="9163050"/>
          <a:chExt cx="1526176" cy="972344"/>
        </a:xfrm>
      </xdr:grpSpPr>
      <xdr:sp macro="" textlink="">
        <xdr:nvSpPr>
          <xdr:cNvPr id="6" name="Rectangle 5">
            <a:extLst>
              <a:ext uri="{FF2B5EF4-FFF2-40B4-BE49-F238E27FC236}">
                <a16:creationId xmlns:a16="http://schemas.microsoft.com/office/drawing/2014/main" id="{00000000-0008-0000-03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1</xdr:col>
          <xdr:colOff>1838325</xdr:colOff>
          <xdr:row>46</xdr:row>
          <xdr:rowOff>0</xdr:rowOff>
        </xdr:from>
        <xdr:to>
          <xdr:col>2</xdr:col>
          <xdr:colOff>0</xdr:colOff>
          <xdr:row>47</xdr:row>
          <xdr:rowOff>0</xdr:rowOff>
        </xdr:to>
        <xdr:sp macro="" textlink="">
          <xdr:nvSpPr>
            <xdr:cNvPr id="3137" name="Button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Times New Roman"/>
                  <a:cs typeface="Times New Roman"/>
                </a:rPr>
                <a:t>Find value</a:t>
              </a:r>
            </a:p>
          </xdr:txBody>
        </xdr:sp>
        <xdr:clientData fPrintsWithSheet="0"/>
      </xdr:twoCellAnchor>
    </mc:Choice>
    <mc:Fallback/>
  </mc:AlternateContent>
  <xdr:twoCellAnchor>
    <xdr:from>
      <xdr:col>10</xdr:col>
      <xdr:colOff>0</xdr:colOff>
      <xdr:row>3</xdr:row>
      <xdr:rowOff>0</xdr:rowOff>
    </xdr:from>
    <xdr:to>
      <xdr:col>15</xdr:col>
      <xdr:colOff>0</xdr:colOff>
      <xdr:row>23</xdr:row>
      <xdr:rowOff>0</xdr:rowOff>
    </xdr:to>
    <xdr:graphicFrame macro="">
      <xdr:nvGraphicFramePr>
        <xdr:cNvPr id="3158" name="IscTrade">
          <a:extLst>
            <a:ext uri="{FF2B5EF4-FFF2-40B4-BE49-F238E27FC236}">
              <a16:creationId xmlns:a16="http://schemas.microsoft.com/office/drawing/2014/main" id="{00000000-0008-0000-0300-000056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3</xdr:row>
      <xdr:rowOff>0</xdr:rowOff>
    </xdr:from>
    <xdr:to>
      <xdr:col>19</xdr:col>
      <xdr:colOff>0</xdr:colOff>
      <xdr:row>23</xdr:row>
      <xdr:rowOff>0</xdr:rowOff>
    </xdr:to>
    <xdr:graphicFrame macro="">
      <xdr:nvGraphicFramePr>
        <xdr:cNvPr id="3159" name="IscTradeVol">
          <a:extLst>
            <a:ext uri="{FF2B5EF4-FFF2-40B4-BE49-F238E27FC236}">
              <a16:creationId xmlns:a16="http://schemas.microsoft.com/office/drawing/2014/main" id="{00000000-0008-0000-0300-000057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19</xdr:col>
      <xdr:colOff>0</xdr:colOff>
      <xdr:row>3</xdr:row>
      <xdr:rowOff>0</xdr:rowOff>
    </xdr:from>
    <xdr:to>
      <xdr:col>23</xdr:col>
      <xdr:colOff>0</xdr:colOff>
      <xdr:row>23</xdr:row>
      <xdr:rowOff>0</xdr:rowOff>
    </xdr:to>
    <xdr:graphicFrame macro="">
      <xdr:nvGraphicFramePr>
        <xdr:cNvPr id="3160" name="IscTradeThrust">
          <a:extLst>
            <a:ext uri="{FF2B5EF4-FFF2-40B4-BE49-F238E27FC236}">
              <a16:creationId xmlns:a16="http://schemas.microsoft.com/office/drawing/2014/main" id="{00000000-0008-0000-0300-000058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0</xdr:colOff>
      <xdr:row>24</xdr:row>
      <xdr:rowOff>0</xdr:rowOff>
    </xdr:from>
    <xdr:to>
      <xdr:col>15</xdr:col>
      <xdr:colOff>0</xdr:colOff>
      <xdr:row>42</xdr:row>
      <xdr:rowOff>0</xdr:rowOff>
    </xdr:to>
    <xdr:graphicFrame macro="">
      <xdr:nvGraphicFramePr>
        <xdr:cNvPr id="3161" name="thrustweightTradeVol">
          <a:extLst>
            <a:ext uri="{FF2B5EF4-FFF2-40B4-BE49-F238E27FC236}">
              <a16:creationId xmlns:a16="http://schemas.microsoft.com/office/drawing/2014/main" id="{00000000-0008-0000-0300-000059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0</xdr:colOff>
      <xdr:row>24</xdr:row>
      <xdr:rowOff>0</xdr:rowOff>
    </xdr:from>
    <xdr:to>
      <xdr:col>19</xdr:col>
      <xdr:colOff>0</xdr:colOff>
      <xdr:row>42</xdr:row>
      <xdr:rowOff>0</xdr:rowOff>
    </xdr:to>
    <xdr:graphicFrame macro="">
      <xdr:nvGraphicFramePr>
        <xdr:cNvPr id="3162" name="thrustweightTradeThrust">
          <a:extLst>
            <a:ext uri="{FF2B5EF4-FFF2-40B4-BE49-F238E27FC236}">
              <a16:creationId xmlns:a16="http://schemas.microsoft.com/office/drawing/2014/main" id="{00000000-0008-0000-0300-00005A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0</xdr:colOff>
      <xdr:row>43</xdr:row>
      <xdr:rowOff>0</xdr:rowOff>
    </xdr:from>
    <xdr:to>
      <xdr:col>15</xdr:col>
      <xdr:colOff>0</xdr:colOff>
      <xdr:row>61</xdr:row>
      <xdr:rowOff>0</xdr:rowOff>
    </xdr:to>
    <xdr:graphicFrame macro="">
      <xdr:nvGraphicFramePr>
        <xdr:cNvPr id="3163" name="SpacecraftMassTrade">
          <a:extLst>
            <a:ext uri="{FF2B5EF4-FFF2-40B4-BE49-F238E27FC236}">
              <a16:creationId xmlns:a16="http://schemas.microsoft.com/office/drawing/2014/main" id="{00000000-0008-0000-0300-00005B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0</xdr:colOff>
      <xdr:row>43</xdr:row>
      <xdr:rowOff>0</xdr:rowOff>
    </xdr:from>
    <xdr:to>
      <xdr:col>19</xdr:col>
      <xdr:colOff>0</xdr:colOff>
      <xdr:row>61</xdr:row>
      <xdr:rowOff>0</xdr:rowOff>
    </xdr:to>
    <xdr:graphicFrame macro="">
      <xdr:nvGraphicFramePr>
        <xdr:cNvPr id="3164" name="SpacecraftMassTradeVol">
          <a:extLst>
            <a:ext uri="{FF2B5EF4-FFF2-40B4-BE49-F238E27FC236}">
              <a16:creationId xmlns:a16="http://schemas.microsoft.com/office/drawing/2014/main" id="{00000000-0008-0000-0300-00005C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19</xdr:col>
      <xdr:colOff>0</xdr:colOff>
      <xdr:row>43</xdr:row>
      <xdr:rowOff>0</xdr:rowOff>
    </xdr:from>
    <xdr:to>
      <xdr:col>23</xdr:col>
      <xdr:colOff>0</xdr:colOff>
      <xdr:row>61</xdr:row>
      <xdr:rowOff>0</xdr:rowOff>
    </xdr:to>
    <xdr:graphicFrame macro="">
      <xdr:nvGraphicFramePr>
        <xdr:cNvPr id="3165" name="SpacecraftMassTradeThrust">
          <a:extLst>
            <a:ext uri="{FF2B5EF4-FFF2-40B4-BE49-F238E27FC236}">
              <a16:creationId xmlns:a16="http://schemas.microsoft.com/office/drawing/2014/main" id="{00000000-0008-0000-0300-00005D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0</xdr:colOff>
      <xdr:row>62</xdr:row>
      <xdr:rowOff>0</xdr:rowOff>
    </xdr:from>
    <xdr:to>
      <xdr:col>15</xdr:col>
      <xdr:colOff>0</xdr:colOff>
      <xdr:row>81</xdr:row>
      <xdr:rowOff>0</xdr:rowOff>
    </xdr:to>
    <xdr:graphicFrame macro="">
      <xdr:nvGraphicFramePr>
        <xdr:cNvPr id="3166" name="DeltaVTrade">
          <a:extLst>
            <a:ext uri="{FF2B5EF4-FFF2-40B4-BE49-F238E27FC236}">
              <a16:creationId xmlns:a16="http://schemas.microsoft.com/office/drawing/2014/main" id="{00000000-0008-0000-0300-00005E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15</xdr:col>
      <xdr:colOff>0</xdr:colOff>
      <xdr:row>62</xdr:row>
      <xdr:rowOff>0</xdr:rowOff>
    </xdr:from>
    <xdr:to>
      <xdr:col>19</xdr:col>
      <xdr:colOff>0</xdr:colOff>
      <xdr:row>81</xdr:row>
      <xdr:rowOff>0</xdr:rowOff>
    </xdr:to>
    <xdr:graphicFrame macro="">
      <xdr:nvGraphicFramePr>
        <xdr:cNvPr id="3167" name="DeltaVTradeVol">
          <a:extLst>
            <a:ext uri="{FF2B5EF4-FFF2-40B4-BE49-F238E27FC236}">
              <a16:creationId xmlns:a16="http://schemas.microsoft.com/office/drawing/2014/main" id="{00000000-0008-0000-0300-00005F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19</xdr:col>
      <xdr:colOff>0</xdr:colOff>
      <xdr:row>62</xdr:row>
      <xdr:rowOff>0</xdr:rowOff>
    </xdr:from>
    <xdr:to>
      <xdr:col>23</xdr:col>
      <xdr:colOff>0</xdr:colOff>
      <xdr:row>81</xdr:row>
      <xdr:rowOff>0</xdr:rowOff>
    </xdr:to>
    <xdr:graphicFrame macro="">
      <xdr:nvGraphicFramePr>
        <xdr:cNvPr id="3168" name="DeltaVTradeThrust">
          <a:extLst>
            <a:ext uri="{FF2B5EF4-FFF2-40B4-BE49-F238E27FC236}">
              <a16:creationId xmlns:a16="http://schemas.microsoft.com/office/drawing/2014/main" id="{00000000-0008-0000-0300-000060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mc:AlternateContent xmlns:mc="http://schemas.openxmlformats.org/markup-compatibility/2006">
    <mc:Choice xmlns:a14="http://schemas.microsoft.com/office/drawing/2010/main" Requires="a14">
      <xdr:twoCellAnchor>
        <xdr:from>
          <xdr:col>17</xdr:col>
          <xdr:colOff>866775</xdr:colOff>
          <xdr:row>2</xdr:row>
          <xdr:rowOff>28575</xdr:rowOff>
        </xdr:from>
        <xdr:to>
          <xdr:col>19</xdr:col>
          <xdr:colOff>600075</xdr:colOff>
          <xdr:row>2</xdr:row>
          <xdr:rowOff>247650</xdr:rowOff>
        </xdr:to>
        <xdr:sp macro="" textlink="">
          <xdr:nvSpPr>
            <xdr:cNvPr id="8" name="Button 92" hidden="1">
              <a:extLst>
                <a:ext uri="{63B3BB69-23CF-44E3-9099-C40C66FF867C}">
                  <a14:compatExt spid="_x0000_s3164"/>
                </a:ext>
                <a:ext uri="{FF2B5EF4-FFF2-40B4-BE49-F238E27FC236}">
                  <a16:creationId xmlns:a16="http://schemas.microsoft.com/office/drawing/2014/main" id="{00000000-0008-0000-0300-0000080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specific impulse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xdr:colOff>
          <xdr:row>23</xdr:row>
          <xdr:rowOff>28575</xdr:rowOff>
        </xdr:from>
        <xdr:to>
          <xdr:col>19</xdr:col>
          <xdr:colOff>914400</xdr:colOff>
          <xdr:row>23</xdr:row>
          <xdr:rowOff>238125</xdr:rowOff>
        </xdr:to>
        <xdr:sp macro="" textlink="">
          <xdr:nvSpPr>
            <xdr:cNvPr id="9" name="Button 93" hidden="1">
              <a:extLst>
                <a:ext uri="{63B3BB69-23CF-44E3-9099-C40C66FF867C}">
                  <a14:compatExt spid="_x0000_s3165"/>
                </a:ext>
                <a:ext uri="{FF2B5EF4-FFF2-40B4-BE49-F238E27FC236}">
                  <a16:creationId xmlns:a16="http://schemas.microsoft.com/office/drawing/2014/main" id="{00000000-0008-0000-0300-0000090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thrust to weight ratio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42</xdr:row>
          <xdr:rowOff>19050</xdr:rowOff>
        </xdr:from>
        <xdr:to>
          <xdr:col>19</xdr:col>
          <xdr:colOff>923925</xdr:colOff>
          <xdr:row>42</xdr:row>
          <xdr:rowOff>238125</xdr:rowOff>
        </xdr:to>
        <xdr:sp macro="" textlink="">
          <xdr:nvSpPr>
            <xdr:cNvPr id="10" name="Button 94" hidden="1">
              <a:extLst>
                <a:ext uri="{63B3BB69-23CF-44E3-9099-C40C66FF867C}">
                  <a14:compatExt spid="_x0000_s3166"/>
                </a:ext>
                <a:ext uri="{FF2B5EF4-FFF2-40B4-BE49-F238E27FC236}">
                  <a16:creationId xmlns:a16="http://schemas.microsoft.com/office/drawing/2014/main" id="{00000000-0008-0000-0300-00000A0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spacecraft dry mass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638175</xdr:colOff>
          <xdr:row>61</xdr:row>
          <xdr:rowOff>28575</xdr:rowOff>
        </xdr:from>
        <xdr:to>
          <xdr:col>19</xdr:col>
          <xdr:colOff>361950</xdr:colOff>
          <xdr:row>61</xdr:row>
          <xdr:rowOff>247650</xdr:rowOff>
        </xdr:to>
        <xdr:sp macro="" textlink="">
          <xdr:nvSpPr>
            <xdr:cNvPr id="11" name="Button 95" hidden="1">
              <a:extLst>
                <a:ext uri="{63B3BB69-23CF-44E3-9099-C40C66FF867C}">
                  <a14:compatExt spid="_x0000_s3167"/>
                </a:ext>
                <a:ext uri="{FF2B5EF4-FFF2-40B4-BE49-F238E27FC236}">
                  <a16:creationId xmlns:a16="http://schemas.microsoft.com/office/drawing/2014/main" id="{00000000-0008-0000-0300-00000B0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total deltaV</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85725</xdr:colOff>
      <xdr:row>0</xdr:row>
      <xdr:rowOff>85725</xdr:rowOff>
    </xdr:from>
    <xdr:to>
      <xdr:col>9</xdr:col>
      <xdr:colOff>533400</xdr:colOff>
      <xdr:row>0</xdr:row>
      <xdr:rowOff>457200</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85725" y="85725"/>
          <a:ext cx="10888889" cy="371475"/>
          <a:chOff x="9524" y="0"/>
          <a:chExt cx="14087475" cy="485600"/>
        </a:xfrm>
      </xdr:grpSpPr>
      <xdr:sp macro="" textlink="">
        <xdr:nvSpPr>
          <xdr:cNvPr id="3" name="Rectangle 2">
            <a:extLst>
              <a:ext uri="{FF2B5EF4-FFF2-40B4-BE49-F238E27FC236}">
                <a16:creationId xmlns:a16="http://schemas.microsoft.com/office/drawing/2014/main" id="{00000000-0008-0000-04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4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Electric Propulsion System  Sizing</a:t>
            </a:r>
          </a:p>
        </xdr:txBody>
      </xdr:sp>
    </xdr:grpSp>
    <xdr:clientData/>
  </xdr:twoCellAnchor>
  <xdr:twoCellAnchor>
    <xdr:from>
      <xdr:col>8</xdr:col>
      <xdr:colOff>561975</xdr:colOff>
      <xdr:row>0</xdr:row>
      <xdr:rowOff>104775</xdr:rowOff>
    </xdr:from>
    <xdr:to>
      <xdr:col>9</xdr:col>
      <xdr:colOff>522710</xdr:colOff>
      <xdr:row>0</xdr:row>
      <xdr:rowOff>428625</xdr:rowOff>
    </xdr:to>
    <xdr:grpSp>
      <xdr:nvGrpSpPr>
        <xdr:cNvPr id="5" name="Group 4">
          <a:extLst>
            <a:ext uri="{FF2B5EF4-FFF2-40B4-BE49-F238E27FC236}">
              <a16:creationId xmlns:a16="http://schemas.microsoft.com/office/drawing/2014/main" id="{00000000-0008-0000-0400-000005000000}"/>
            </a:ext>
          </a:extLst>
        </xdr:cNvPr>
        <xdr:cNvGrpSpPr>
          <a:grpSpLocks noChangeAspect="1"/>
        </xdr:cNvGrpSpPr>
      </xdr:nvGrpSpPr>
      <xdr:grpSpPr>
        <a:xfrm>
          <a:off x="10313761" y="104775"/>
          <a:ext cx="650163" cy="323850"/>
          <a:chOff x="9020175" y="9163050"/>
          <a:chExt cx="1526176" cy="972344"/>
        </a:xfrm>
      </xdr:grpSpPr>
      <xdr:sp macro="" textlink="">
        <xdr:nvSpPr>
          <xdr:cNvPr id="6" name="Rectangle 5">
            <a:extLst>
              <a:ext uri="{FF2B5EF4-FFF2-40B4-BE49-F238E27FC236}">
                <a16:creationId xmlns:a16="http://schemas.microsoft.com/office/drawing/2014/main" id="{00000000-0008-0000-04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8</xdr:col>
          <xdr:colOff>28575</xdr:colOff>
          <xdr:row>8</xdr:row>
          <xdr:rowOff>0</xdr:rowOff>
        </xdr:from>
        <xdr:to>
          <xdr:col>8</xdr:col>
          <xdr:colOff>581025</xdr:colOff>
          <xdr:row>9</xdr:row>
          <xdr:rowOff>9525</xdr:rowOff>
        </xdr:to>
        <xdr:sp macro="" textlink="">
          <xdr:nvSpPr>
            <xdr:cNvPr id="4149" name="Button 53" hidden="1">
              <a:extLst>
                <a:ext uri="{63B3BB69-23CF-44E3-9099-C40C66FF867C}">
                  <a14:compatExt spid="_x0000_s4149"/>
                </a:ext>
                <a:ext uri="{FF2B5EF4-FFF2-40B4-BE49-F238E27FC236}">
                  <a16:creationId xmlns:a16="http://schemas.microsoft.com/office/drawing/2014/main" id="{00000000-0008-0000-0400-000035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Times New Roman"/>
                  <a:cs typeface="Times New Roman"/>
                </a:rPr>
                <a:t>Maximize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1476375</xdr:colOff>
          <xdr:row>8</xdr:row>
          <xdr:rowOff>0</xdr:rowOff>
        </xdr:from>
        <xdr:to>
          <xdr:col>3</xdr:col>
          <xdr:colOff>28575</xdr:colOff>
          <xdr:row>8</xdr:row>
          <xdr:rowOff>200025</xdr:rowOff>
        </xdr:to>
        <xdr:sp macro="" textlink="">
          <xdr:nvSpPr>
            <xdr:cNvPr id="4150" name="Drop Down 54" hidden="1">
              <a:extLst>
                <a:ext uri="{63B3BB69-23CF-44E3-9099-C40C66FF867C}">
                  <a14:compatExt spid="_x0000_s4150"/>
                </a:ext>
                <a:ext uri="{FF2B5EF4-FFF2-40B4-BE49-F238E27FC236}">
                  <a16:creationId xmlns:a16="http://schemas.microsoft.com/office/drawing/2014/main" id="{00000000-0008-0000-04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0</xdr:colOff>
      <xdr:row>24</xdr:row>
      <xdr:rowOff>0</xdr:rowOff>
    </xdr:from>
    <xdr:to>
      <xdr:col>15</xdr:col>
      <xdr:colOff>0</xdr:colOff>
      <xdr:row>42</xdr:row>
      <xdr:rowOff>0</xdr:rowOff>
    </xdr:to>
    <xdr:graphicFrame macro="">
      <xdr:nvGraphicFramePr>
        <xdr:cNvPr id="4141" name="SpacecraftMassTrade">
          <a:extLst>
            <a:ext uri="{FF2B5EF4-FFF2-40B4-BE49-F238E27FC236}">
              <a16:creationId xmlns:a16="http://schemas.microsoft.com/office/drawing/2014/main" id="{00000000-0008-0000-0400-00002D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24</xdr:row>
      <xdr:rowOff>0</xdr:rowOff>
    </xdr:from>
    <xdr:to>
      <xdr:col>19</xdr:col>
      <xdr:colOff>0</xdr:colOff>
      <xdr:row>42</xdr:row>
      <xdr:rowOff>0</xdr:rowOff>
    </xdr:to>
    <xdr:graphicFrame macro="">
      <xdr:nvGraphicFramePr>
        <xdr:cNvPr id="4142" name="SpacecraftMassTradeVol">
          <a:extLst>
            <a:ext uri="{FF2B5EF4-FFF2-40B4-BE49-F238E27FC236}">
              <a16:creationId xmlns:a16="http://schemas.microsoft.com/office/drawing/2014/main" id="{00000000-0008-0000-0400-00002E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19</xdr:col>
      <xdr:colOff>0</xdr:colOff>
      <xdr:row>24</xdr:row>
      <xdr:rowOff>0</xdr:rowOff>
    </xdr:from>
    <xdr:to>
      <xdr:col>23</xdr:col>
      <xdr:colOff>0</xdr:colOff>
      <xdr:row>42</xdr:row>
      <xdr:rowOff>0</xdr:rowOff>
    </xdr:to>
    <xdr:graphicFrame macro="">
      <xdr:nvGraphicFramePr>
        <xdr:cNvPr id="4143" name="SpacecraftMassTradeThrust">
          <a:extLst>
            <a:ext uri="{FF2B5EF4-FFF2-40B4-BE49-F238E27FC236}">
              <a16:creationId xmlns:a16="http://schemas.microsoft.com/office/drawing/2014/main" id="{00000000-0008-0000-0400-00002F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0</xdr:colOff>
      <xdr:row>43</xdr:row>
      <xdr:rowOff>0</xdr:rowOff>
    </xdr:from>
    <xdr:to>
      <xdr:col>15</xdr:col>
      <xdr:colOff>0</xdr:colOff>
      <xdr:row>61</xdr:row>
      <xdr:rowOff>0</xdr:rowOff>
    </xdr:to>
    <xdr:graphicFrame macro="">
      <xdr:nvGraphicFramePr>
        <xdr:cNvPr id="4144" name="SpacecraftDeltaVTrade">
          <a:extLst>
            <a:ext uri="{FF2B5EF4-FFF2-40B4-BE49-F238E27FC236}">
              <a16:creationId xmlns:a16="http://schemas.microsoft.com/office/drawing/2014/main" id="{00000000-0008-0000-0400-000030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0</xdr:colOff>
      <xdr:row>43</xdr:row>
      <xdr:rowOff>0</xdr:rowOff>
    </xdr:from>
    <xdr:to>
      <xdr:col>19</xdr:col>
      <xdr:colOff>0</xdr:colOff>
      <xdr:row>61</xdr:row>
      <xdr:rowOff>0</xdr:rowOff>
    </xdr:to>
    <xdr:graphicFrame macro="">
      <xdr:nvGraphicFramePr>
        <xdr:cNvPr id="4145" name="SpacecraftDeltaVTradeVol">
          <a:extLst>
            <a:ext uri="{FF2B5EF4-FFF2-40B4-BE49-F238E27FC236}">
              <a16:creationId xmlns:a16="http://schemas.microsoft.com/office/drawing/2014/main" id="{00000000-0008-0000-0400-000031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0</xdr:colOff>
      <xdr:row>4</xdr:row>
      <xdr:rowOff>0</xdr:rowOff>
    </xdr:from>
    <xdr:to>
      <xdr:col>15</xdr:col>
      <xdr:colOff>0</xdr:colOff>
      <xdr:row>23</xdr:row>
      <xdr:rowOff>0</xdr:rowOff>
    </xdr:to>
    <xdr:graphicFrame macro="">
      <xdr:nvGraphicFramePr>
        <xdr:cNvPr id="4146" name="IscTrade">
          <a:extLst>
            <a:ext uri="{FF2B5EF4-FFF2-40B4-BE49-F238E27FC236}">
              <a16:creationId xmlns:a16="http://schemas.microsoft.com/office/drawing/2014/main" id="{00000000-0008-0000-0400-000032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19</xdr:col>
      <xdr:colOff>0</xdr:colOff>
      <xdr:row>4</xdr:row>
      <xdr:rowOff>0</xdr:rowOff>
    </xdr:from>
    <xdr:to>
      <xdr:col>23</xdr:col>
      <xdr:colOff>0</xdr:colOff>
      <xdr:row>23</xdr:row>
      <xdr:rowOff>0</xdr:rowOff>
    </xdr:to>
    <xdr:graphicFrame macro="">
      <xdr:nvGraphicFramePr>
        <xdr:cNvPr id="4148" name="IscTradeThrust">
          <a:extLst>
            <a:ext uri="{FF2B5EF4-FFF2-40B4-BE49-F238E27FC236}">
              <a16:creationId xmlns:a16="http://schemas.microsoft.com/office/drawing/2014/main" id="{00000000-0008-0000-0400-000034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15</xdr:col>
      <xdr:colOff>0</xdr:colOff>
      <xdr:row>4</xdr:row>
      <xdr:rowOff>0</xdr:rowOff>
    </xdr:from>
    <xdr:to>
      <xdr:col>19</xdr:col>
      <xdr:colOff>0</xdr:colOff>
      <xdr:row>23</xdr:row>
      <xdr:rowOff>0</xdr:rowOff>
    </xdr:to>
    <xdr:graphicFrame macro="">
      <xdr:nvGraphicFramePr>
        <xdr:cNvPr id="4151" name="IscTradeVol">
          <a:extLst>
            <a:ext uri="{FF2B5EF4-FFF2-40B4-BE49-F238E27FC236}">
              <a16:creationId xmlns:a16="http://schemas.microsoft.com/office/drawing/2014/main" id="{00000000-0008-0000-0400-0000371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mc:AlternateContent xmlns:mc="http://schemas.openxmlformats.org/markup-compatibility/2006">
    <mc:Choice xmlns:a14="http://schemas.microsoft.com/office/drawing/2010/main" Requires="a14">
      <xdr:twoCellAnchor>
        <xdr:from>
          <xdr:col>18</xdr:col>
          <xdr:colOff>571500</xdr:colOff>
          <xdr:row>3</xdr:row>
          <xdr:rowOff>9525</xdr:rowOff>
        </xdr:from>
        <xdr:to>
          <xdr:col>20</xdr:col>
          <xdr:colOff>104775</xdr:colOff>
          <xdr:row>3</xdr:row>
          <xdr:rowOff>209550</xdr:rowOff>
        </xdr:to>
        <xdr:sp macro="" textlink="">
          <xdr:nvSpPr>
            <xdr:cNvPr id="4173" name="Button 77" hidden="1">
              <a:extLst>
                <a:ext uri="{63B3BB69-23CF-44E3-9099-C40C66FF867C}">
                  <a14:compatExt spid="_x0000_s4173"/>
                </a:ext>
                <a:ext uri="{FF2B5EF4-FFF2-40B4-BE49-F238E27FC236}">
                  <a16:creationId xmlns:a16="http://schemas.microsoft.com/office/drawing/2014/main" id="{00000000-0008-0000-0400-00004D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specific impulse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571500</xdr:colOff>
          <xdr:row>23</xdr:row>
          <xdr:rowOff>47625</xdr:rowOff>
        </xdr:from>
        <xdr:to>
          <xdr:col>20</xdr:col>
          <xdr:colOff>409575</xdr:colOff>
          <xdr:row>23</xdr:row>
          <xdr:rowOff>257175</xdr:rowOff>
        </xdr:to>
        <xdr:sp macro="" textlink="">
          <xdr:nvSpPr>
            <xdr:cNvPr id="4174" name="Button 78" hidden="1">
              <a:extLst>
                <a:ext uri="{63B3BB69-23CF-44E3-9099-C40C66FF867C}">
                  <a14:compatExt spid="_x0000_s4174"/>
                </a:ext>
                <a:ext uri="{FF2B5EF4-FFF2-40B4-BE49-F238E27FC236}">
                  <a16:creationId xmlns:a16="http://schemas.microsoft.com/office/drawing/2014/main" id="{00000000-0008-0000-0400-00004E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spacecraft dry mass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571500</xdr:colOff>
          <xdr:row>42</xdr:row>
          <xdr:rowOff>47625</xdr:rowOff>
        </xdr:from>
        <xdr:to>
          <xdr:col>20</xdr:col>
          <xdr:colOff>104775</xdr:colOff>
          <xdr:row>43</xdr:row>
          <xdr:rowOff>0</xdr:rowOff>
        </xdr:to>
        <xdr:sp macro="" textlink="">
          <xdr:nvSpPr>
            <xdr:cNvPr id="4175" name="Button 79" hidden="1">
              <a:extLst>
                <a:ext uri="{63B3BB69-23CF-44E3-9099-C40C66FF867C}">
                  <a14:compatExt spid="_x0000_s4175"/>
                </a:ext>
                <a:ext uri="{FF2B5EF4-FFF2-40B4-BE49-F238E27FC236}">
                  <a16:creationId xmlns:a16="http://schemas.microsoft.com/office/drawing/2014/main" id="{00000000-0008-0000-0400-00004F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total deltaV</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657225</xdr:colOff>
          <xdr:row>35</xdr:row>
          <xdr:rowOff>28575</xdr:rowOff>
        </xdr:from>
        <xdr:to>
          <xdr:col>6</xdr:col>
          <xdr:colOff>1914525</xdr:colOff>
          <xdr:row>35</xdr:row>
          <xdr:rowOff>238125</xdr:rowOff>
        </xdr:to>
        <xdr:sp macro="" textlink="">
          <xdr:nvSpPr>
            <xdr:cNvPr id="4178" name="Button 82" hidden="1">
              <a:extLst>
                <a:ext uri="{63B3BB69-23CF-44E3-9099-C40C66FF867C}">
                  <a14:compatExt spid="_x0000_s4178"/>
                </a:ext>
                <a:ext uri="{FF2B5EF4-FFF2-40B4-BE49-F238E27FC236}">
                  <a16:creationId xmlns:a16="http://schemas.microsoft.com/office/drawing/2014/main" id="{00000000-0008-0000-0400-000052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Vary Burn Duration</a:t>
              </a:r>
            </a:p>
          </xdr:txBody>
        </xdr:sp>
        <xdr:clientData fPrintsWithSheet="0"/>
      </xdr:twoCellAnchor>
    </mc:Choice>
    <mc:Fallback/>
  </mc:AlternateContent>
  <xdr:twoCellAnchor>
    <xdr:from>
      <xdr:col>1</xdr:col>
      <xdr:colOff>0</xdr:colOff>
      <xdr:row>37</xdr:row>
      <xdr:rowOff>0</xdr:rowOff>
    </xdr:from>
    <xdr:to>
      <xdr:col>3</xdr:col>
      <xdr:colOff>0</xdr:colOff>
      <xdr:row>57</xdr:row>
      <xdr:rowOff>0</xdr:rowOff>
    </xdr:to>
    <xdr:graphicFrame macro="">
      <xdr:nvGraphicFramePr>
        <xdr:cNvPr id="8" name="BurnDurationTradeVol">
          <a:extLst>
            <a:ext uri="{FF2B5EF4-FFF2-40B4-BE49-F238E27FC236}">
              <a16:creationId xmlns:a16="http://schemas.microsoft.com/office/drawing/2014/main" id="{00000000-0008-0000-04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37</xdr:row>
      <xdr:rowOff>0</xdr:rowOff>
    </xdr:from>
    <xdr:to>
      <xdr:col>8</xdr:col>
      <xdr:colOff>0</xdr:colOff>
      <xdr:row>57</xdr:row>
      <xdr:rowOff>0</xdr:rowOff>
    </xdr:to>
    <xdr:graphicFrame macro="">
      <xdr:nvGraphicFramePr>
        <xdr:cNvPr id="9" name="BurnDurationTradeThrust">
          <a:extLst>
            <a:ext uri="{FF2B5EF4-FFF2-40B4-BE49-F238E27FC236}">
              <a16:creationId xmlns:a16="http://schemas.microsoft.com/office/drawing/2014/main" id="{00000000-0008-0000-04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107950</xdr:colOff>
      <xdr:row>4</xdr:row>
      <xdr:rowOff>114300</xdr:rowOff>
    </xdr:from>
    <xdr:to>
      <xdr:col>5</xdr:col>
      <xdr:colOff>247650</xdr:colOff>
      <xdr:row>6</xdr:row>
      <xdr:rowOff>6350</xdr:rowOff>
    </xdr:to>
    <xdr:sp macro="" textlink="">
      <xdr:nvSpPr>
        <xdr:cNvPr id="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0</xdr:colOff>
      <xdr:row>0</xdr:row>
      <xdr:rowOff>0</xdr:rowOff>
    </xdr:from>
    <xdr:to>
      <xdr:col>7</xdr:col>
      <xdr:colOff>609600</xdr:colOff>
      <xdr:row>2</xdr:row>
      <xdr:rowOff>88900</xdr:rowOff>
    </xdr:to>
    <xdr:grpSp>
      <xdr:nvGrpSpPr>
        <xdr:cNvPr id="1373" name="Group 1372">
          <a:extLst>
            <a:ext uri="{FF2B5EF4-FFF2-40B4-BE49-F238E27FC236}">
              <a16:creationId xmlns:a16="http://schemas.microsoft.com/office/drawing/2014/main" id="{00000000-0008-0000-0600-00005D050000}"/>
            </a:ext>
          </a:extLst>
        </xdr:cNvPr>
        <xdr:cNvGrpSpPr>
          <a:grpSpLocks/>
        </xdr:cNvGrpSpPr>
      </xdr:nvGrpSpPr>
      <xdr:grpSpPr bwMode="auto">
        <a:xfrm>
          <a:off x="0" y="0"/>
          <a:ext cx="6432550" cy="457200"/>
          <a:chOff x="9524" y="0"/>
          <a:chExt cx="14087475" cy="485600"/>
        </a:xfrm>
      </xdr:grpSpPr>
      <xdr:sp macro="" textlink="">
        <xdr:nvSpPr>
          <xdr:cNvPr id="1374" name="Rectangle 1373">
            <a:extLst>
              <a:ext uri="{FF2B5EF4-FFF2-40B4-BE49-F238E27FC236}">
                <a16:creationId xmlns:a16="http://schemas.microsoft.com/office/drawing/2014/main" id="{00000000-0008-0000-0600-00005E05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1375" name="Rectangle 1374">
            <a:extLst>
              <a:ext uri="{FF2B5EF4-FFF2-40B4-BE49-F238E27FC236}">
                <a16:creationId xmlns:a16="http://schemas.microsoft.com/office/drawing/2014/main" id="{00000000-0008-0000-0600-00005F05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Propulsion</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1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584200</xdr:colOff>
      <xdr:row>3</xdr:row>
      <xdr:rowOff>165100</xdr:rowOff>
    </xdr:from>
    <xdr:to>
      <xdr:col>5</xdr:col>
      <xdr:colOff>450850</xdr:colOff>
      <xdr:row>18</xdr:row>
      <xdr:rowOff>146050</xdr:rowOff>
    </xdr:to>
    <xdr:graphicFrame macro="">
      <xdr:nvGraphicFramePr>
        <xdr:cNvPr id="2704" name="Diagram 2703">
          <a:extLst>
            <a:ext uri="{FF2B5EF4-FFF2-40B4-BE49-F238E27FC236}">
              <a16:creationId xmlns:a16="http://schemas.microsoft.com/office/drawing/2014/main" id="{00000000-0008-0000-0600-0000900A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18</xdr:col>
      <xdr:colOff>293687</xdr:colOff>
      <xdr:row>28</xdr:row>
      <xdr:rowOff>176214</xdr:rowOff>
    </xdr:from>
    <xdr:to>
      <xdr:col>27</xdr:col>
      <xdr:colOff>380999</xdr:colOff>
      <xdr:row>43</xdr:row>
      <xdr:rowOff>0</xdr:rowOff>
    </xdr:to>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Marcos\Product%20Tree\AutoTree%20GenerationOCDTi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Payload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Payload_v1.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Calculation%20sheets_ToBeReviewd\Thermal%20And%20Structure\Subsyste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ADCS_v2.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ADCS_v1.9.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Polito-ESA-ISU_Mission_v2.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DHS_V1.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Teacher\Desktop\Calculation%20sheets\Old\ESA-ISU_CalculationSheet_Propulsion.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WithTradeOff\Structure_V1.9%20(With%20TradeOff%20And%20Product%20Tree).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Mission_v1.9.1.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Mission_v1.8.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Thermal_v2.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Thermal_v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Teacher\Desktop\Calculation%20sheets\New\Polito-ESA-ISU_Thermal_v2.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Loris%20Franchi\Desktop\ADP%20final\Calculation%20Sheets\WithMacros\ESA-ISU_Thermal_v1.9(With%20TradeOff%20and%20Product%20Tree).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Gwenael%20Van%20Looveren\Desktop\Calculation%20Sheets\ESA-ISU_Thermal_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ORDE_Info"/>
      <sheetName val="Parameters"/>
      <sheetName val="States"/>
      <sheetName val="Option_default"/>
      <sheetName val="Option_TempOpt"/>
      <sheetName val="Summary_default"/>
      <sheetName val="Summary_TempOpt"/>
      <sheetName val="TempData"/>
      <sheetName val="Data"/>
      <sheetName val="ProductTreeMain"/>
      <sheetName val="Product Tree_Example_Results"/>
      <sheetName val="Db"/>
      <sheetName val="Product Tree Manual"/>
      <sheetName val="AutoTree GenerationOCDTint"/>
    </sheetNames>
    <sheetDataSet>
      <sheetData sheetId="0"/>
      <sheetData sheetId="1">
        <row r="2">
          <cell r="I2">
            <v>1001000</v>
          </cell>
        </row>
        <row r="4">
          <cell r="I4">
            <v>2</v>
          </cell>
        </row>
        <row r="5">
          <cell r="I5">
            <v>3</v>
          </cell>
        </row>
        <row r="6">
          <cell r="I6" t="str">
            <v>-</v>
          </cell>
        </row>
        <row r="8">
          <cell r="I8" t="str">
            <v>-</v>
          </cell>
        </row>
        <row r="9">
          <cell r="I9" t="str">
            <v>-</v>
          </cell>
        </row>
        <row r="10">
          <cell r="I10" t="str">
            <v>-</v>
          </cell>
        </row>
        <row r="12">
          <cell r="I12" t="str">
            <v>-</v>
          </cell>
        </row>
        <row r="13">
          <cell r="I13" t="str">
            <v>-</v>
          </cell>
        </row>
        <row r="14">
          <cell r="I14" t="str">
            <v>-</v>
          </cell>
        </row>
        <row r="16">
          <cell r="I16" t="str">
            <v>-</v>
          </cell>
        </row>
        <row r="17">
          <cell r="I17" t="str">
            <v>-</v>
          </cell>
        </row>
        <row r="18">
          <cell r="I18" t="str">
            <v>-</v>
          </cell>
        </row>
        <row r="20">
          <cell r="I20" t="str">
            <v>-</v>
          </cell>
        </row>
        <row r="21">
          <cell r="I21" t="str">
            <v>-</v>
          </cell>
        </row>
        <row r="22">
          <cell r="I22" t="str">
            <v>-</v>
          </cell>
        </row>
        <row r="24">
          <cell r="I24" t="str">
            <v>-</v>
          </cell>
        </row>
        <row r="25">
          <cell r="I25" t="str">
            <v>-</v>
          </cell>
        </row>
        <row r="26">
          <cell r="I26" t="str">
            <v>0,2</v>
          </cell>
        </row>
        <row r="28">
          <cell r="I28" t="str">
            <v>-</v>
          </cell>
        </row>
        <row r="29">
          <cell r="I29" t="str">
            <v>-</v>
          </cell>
        </row>
        <row r="30">
          <cell r="I30">
            <v>3</v>
          </cell>
        </row>
        <row r="32">
          <cell r="I32" t="str">
            <v>-</v>
          </cell>
        </row>
        <row r="33">
          <cell r="I33" t="str">
            <v>-</v>
          </cell>
        </row>
        <row r="34">
          <cell r="I34" t="str">
            <v>-</v>
          </cell>
        </row>
        <row r="36">
          <cell r="I36" t="str">
            <v>-</v>
          </cell>
        </row>
        <row r="37">
          <cell r="I37" t="str">
            <v>-</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s Payload - Optics"/>
      <sheetName val="Obs Payload - Sizing"/>
      <sheetName val="Obs Payload- Along Track Stereo"/>
      <sheetName val="MSI-Radiometric budget"/>
      <sheetName val="Modes"/>
      <sheetName val="EO- Missions"/>
      <sheetName val="EO Sensors"/>
      <sheetName val="ProductTreeMain"/>
      <sheetName val="Trade_off"/>
      <sheetName val="Db"/>
      <sheetName val="Constants"/>
      <sheetName val="ESA-ISU_Payload_v2"/>
    </sheetNames>
    <sheetDataSet>
      <sheetData sheetId="0" refreshError="1"/>
      <sheetData sheetId="1" refreshError="1"/>
      <sheetData sheetId="2" refreshError="1"/>
      <sheetData sheetId="3">
        <row r="35">
          <cell r="D35">
            <v>2.4383172413793104</v>
          </cell>
        </row>
        <row r="36">
          <cell r="D36">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bs Payload - Optics"/>
      <sheetName val="Obs Payload - Sizing"/>
      <sheetName val="Obs Payload- Along Track Stereo"/>
      <sheetName val="MSI-Radiometric budget"/>
      <sheetName val="EO- Missions"/>
      <sheetName val="Sensors-Db"/>
      <sheetName val="Constants"/>
    </sheetNames>
    <sheetDataSet>
      <sheetData sheetId="0"/>
      <sheetData sheetId="1"/>
      <sheetData sheetId="2"/>
      <sheetData sheetId="3"/>
      <sheetData sheetId="4"/>
      <sheetData sheetId="5"/>
      <sheetData sheetId="6"/>
      <sheetData sheetId="7">
        <row r="1">
          <cell r="B1">
            <v>299792458</v>
          </cell>
        </row>
        <row r="3">
          <cell r="B3">
            <v>1.3806580000000001E-23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ystem"/>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Objectives"/>
      <sheetName val="Attitude Control - Torques"/>
      <sheetName val="Modes"/>
      <sheetName val="Attitude Control - Sizing"/>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ow r="20">
          <cell r="Q20">
            <v>0.2</v>
          </cell>
        </row>
        <row r="30">
          <cell r="Q30">
            <v>0.5</v>
          </cell>
        </row>
        <row r="66">
          <cell r="Q66">
            <v>0</v>
          </cell>
        </row>
      </sheetData>
      <sheetData sheetId="7" refreshError="1"/>
      <sheetData sheetId="8" refreshError="1"/>
      <sheetData sheetId="9">
        <row r="1">
          <cell r="B1">
            <v>299792458</v>
          </cell>
        </row>
        <row r="11">
          <cell r="B11">
            <v>6378.1369999999997</v>
          </cell>
        </row>
        <row r="12">
          <cell r="B12">
            <v>398600.44179999997</v>
          </cell>
        </row>
        <row r="33">
          <cell r="B33">
            <v>1367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Constants"/>
    </sheetNames>
    <sheetDataSet>
      <sheetData sheetId="0" refreshError="1"/>
      <sheetData sheetId="1" refreshError="1"/>
      <sheetData sheetId="2" refreshError="1"/>
      <sheetData sheetId="3" refreshError="1"/>
      <sheetData sheetId="4" refreshError="1"/>
      <sheetData sheetId="5">
        <row r="20">
          <cell r="Q20">
            <v>0.2</v>
          </cell>
        </row>
        <row r="30">
          <cell r="Q30">
            <v>0.5</v>
          </cell>
        </row>
        <row r="66">
          <cell r="Q66">
            <v>0</v>
          </cell>
        </row>
      </sheetData>
      <sheetData sheetId="6">
        <row r="1">
          <cell r="B1">
            <v>299792458</v>
          </cell>
        </row>
        <row r="11">
          <cell r="B11">
            <v>6378.1369999999997</v>
          </cell>
        </row>
        <row r="12">
          <cell r="B12">
            <v>398600.44179999997</v>
          </cell>
        </row>
        <row r="18">
          <cell r="B18">
            <v>6378.1369999999997</v>
          </cell>
        </row>
        <row r="28">
          <cell r="B28">
            <v>7960000000000000</v>
          </cell>
        </row>
        <row r="33">
          <cell r="B33">
            <v>1367</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7">
          <cell r="B7">
            <v>132700000000</v>
          </cell>
        </row>
        <row r="9">
          <cell r="B9">
            <v>149600016.456</v>
          </cell>
        </row>
        <row r="14">
          <cell r="B14">
            <v>24</v>
          </cell>
        </row>
        <row r="16">
          <cell r="B16">
            <v>149600000</v>
          </cell>
        </row>
        <row r="19">
          <cell r="B19">
            <v>4902</v>
          </cell>
        </row>
        <row r="20">
          <cell r="B20">
            <v>2.0269999999999999E-4</v>
          </cell>
        </row>
        <row r="27">
          <cell r="B27">
            <v>126.31820461308959</v>
          </cell>
        </row>
      </sheetData>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Objectives"/>
      <sheetName val="CDH - DataBudget &amp; Mass Storage"/>
      <sheetName val="CDH -Single Master"/>
      <sheetName val="Distributed - ADCS board"/>
      <sheetName val="Distributed - Payload Board"/>
      <sheetName val="Distributed - TT&amp;C"/>
      <sheetName val="Radiation Hardness"/>
      <sheetName val="CDH -Distributed"/>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8">
          <cell r="B18">
            <v>6378.1369999999997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hemical Propulsion - Sizing"/>
      <sheetName val="Electric Propulsion - Sizing"/>
      <sheetName val="Modes"/>
      <sheetName val="ProductTreeMain"/>
      <sheetName val="Trade_off"/>
      <sheetName val="Constants"/>
    </sheetNames>
    <sheetDataSet>
      <sheetData sheetId="0"/>
      <sheetData sheetId="1"/>
      <sheetData sheetId="2"/>
      <sheetData sheetId="3"/>
      <sheetData sheetId="4"/>
      <sheetData sheetId="5"/>
      <sheetData sheetId="6"/>
      <sheetData sheetId="7"/>
      <sheetData sheetId="8">
        <row r="11">
          <cell r="B11">
            <v>6378.1369999999997</v>
          </cell>
        </row>
        <row r="12">
          <cell r="B12">
            <v>398600.44179999997</v>
          </cell>
        </row>
        <row r="18">
          <cell r="B18">
            <v>6378.1369999999997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MainTrade"/>
      <sheetName val="ProductTreeMain"/>
      <sheetName val="Temp"/>
      <sheetName val="Db"/>
      <sheetName val="Constants"/>
      <sheetName val="Structure_V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ow r="6">
          <cell r="B6">
            <v>6378.14</v>
          </cell>
        </row>
        <row r="7">
          <cell r="B7">
            <v>398600.5</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
          <cell r="B7">
            <v>132700000000</v>
          </cell>
        </row>
        <row r="11">
          <cell r="B11">
            <v>6378.1369999999997</v>
          </cell>
        </row>
        <row r="12">
          <cell r="B12">
            <v>398600.44179999997</v>
          </cell>
        </row>
        <row r="40">
          <cell r="B40">
            <v>57.2958</v>
          </cell>
        </row>
      </sheetData>
      <sheetData sheetId="2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rbits - Dynamics"/>
      <sheetName val="Orbits - Geometry"/>
      <sheetName val="Planet Coverage Vs Latitude"/>
      <sheetName val="Interplanetary - Launch Windows"/>
      <sheetName val="Interplanetary Missions"/>
      <sheetName val="Interplanetary -Transfer "/>
      <sheetName val="Orbits - Maneuvers"/>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v>132700000000</v>
          </cell>
        </row>
        <row r="9">
          <cell r="B9">
            <v>149600016.456</v>
          </cell>
        </row>
      </sheetData>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32">
          <cell r="B32">
            <v>7.2999999999999995E-2</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row r="6">
          <cell r="I6">
            <v>175.17995263503801</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18">
          <cell r="B18">
            <v>1737</v>
          </cell>
        </row>
        <row r="19">
          <cell r="B19">
            <v>4902</v>
          </cell>
        </row>
        <row r="29">
          <cell r="B29">
            <v>1226</v>
          </cell>
        </row>
        <row r="30">
          <cell r="B30">
            <v>5.2</v>
          </cell>
        </row>
        <row r="32">
          <cell r="B32">
            <v>7.2999999999999995E-2</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9">
          <cell r="B29">
            <v>1226</v>
          </cell>
        </row>
        <row r="30">
          <cell r="B30">
            <v>5.2</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
      <sheetName val="Workbook Description"/>
      <sheetName val="Thermal Control - Spherical"/>
      <sheetName val="MLI Design"/>
      <sheetName val="Thermal Control - Solar Array"/>
      <sheetName val="Modes"/>
      <sheetName val="MainTrade"/>
      <sheetName val="ProductTreeMain"/>
      <sheetName val="Constants"/>
      <sheetName val="Temp"/>
      <sheetName val="Db"/>
    </sheetNames>
    <sheetDataSet>
      <sheetData sheetId="0"/>
      <sheetData sheetId="1"/>
      <sheetData sheetId="2"/>
      <sheetData sheetId="3"/>
      <sheetData sheetId="4"/>
      <sheetData sheetId="5"/>
      <sheetData sheetId="6"/>
      <sheetData sheetId="7"/>
      <sheetData sheetId="8"/>
      <sheetData sheetId="9">
        <row r="4">
          <cell r="B4">
            <v>5.6705100000000003E-8</v>
          </cell>
        </row>
        <row r="18">
          <cell r="B18">
            <v>6378.1369999999997</v>
          </cell>
        </row>
        <row r="19">
          <cell r="B19">
            <v>398600.44179999997</v>
          </cell>
        </row>
      </sheetData>
      <sheetData sheetId="10"/>
      <sheetData sheetId="1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3.vml"/><Relationship Id="rId7" Type="http://schemas.openxmlformats.org/officeDocument/2006/relationships/ctrlProp" Target="../ctrlProps/ctrlProp9.x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omments" Target="../comments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
  <sheetViews>
    <sheetView workbookViewId="0">
      <selection activeCell="S33" sqref="S33"/>
    </sheetView>
  </sheetViews>
  <sheetFormatPr defaultColWidth="9.33203125" defaultRowHeight="12.75"/>
  <cols>
    <col min="1" max="1" width="9.33203125" style="1"/>
    <col min="2" max="2" width="9.6640625" style="1" bestFit="1" customWidth="1"/>
    <col min="3" max="16384" width="9.33203125" style="1"/>
  </cols>
  <sheetData/>
  <phoneticPr fontId="23" type="noConversion"/>
  <pageMargins left="0.75" right="0.75" top="1" bottom="1" header="0.5" footer="0.5"/>
  <pageSetup paperSize="9" orientation="portrait" horizontalDpi="300" verticalDpi="300" r:id="rId1"/>
  <headerFooter alignWithMargins="0"/>
  <drawing r:id="rId2"/>
  <legacyDrawing r:id="rId3"/>
  <oleObjects>
    <mc:AlternateContent xmlns:mc="http://schemas.openxmlformats.org/markup-compatibility/2006">
      <mc:Choice Requires="x14">
        <oleObject progId="AcroExch.Document.7" shapeId="37889" r:id="rId4">
          <objectPr defaultSize="0" r:id="rId5">
            <anchor moveWithCells="1">
              <from>
                <xdr:col>3</xdr:col>
                <xdr:colOff>0</xdr:colOff>
                <xdr:row>3</xdr:row>
                <xdr:rowOff>0</xdr:rowOff>
              </from>
              <to>
                <xdr:col>17</xdr:col>
                <xdr:colOff>76200</xdr:colOff>
                <xdr:row>39</xdr:row>
                <xdr:rowOff>0</xdr:rowOff>
              </to>
            </anchor>
          </objectPr>
        </oleObject>
      </mc:Choice>
      <mc:Fallback>
        <oleObject progId="AcroExch.Document.7" shapeId="37889"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showGridLines="0" tabSelected="1" zoomScale="70" zoomScaleNormal="70" workbookViewId="0">
      <selection activeCell="AH39" sqref="AH39"/>
    </sheetView>
  </sheetViews>
  <sheetFormatPr defaultRowHeight="12.7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
  <sheetViews>
    <sheetView workbookViewId="0">
      <selection activeCell="D12" sqref="D12"/>
    </sheetView>
  </sheetViews>
  <sheetFormatPr defaultRowHeight="12.75"/>
  <cols>
    <col min="1" max="1" width="11.6640625" bestFit="1" customWidth="1"/>
    <col min="2" max="2" width="7.1640625" bestFit="1" customWidth="1"/>
    <col min="3" max="3" width="16.1640625" bestFit="1" customWidth="1"/>
    <col min="4" max="4" width="16.33203125" bestFit="1" customWidth="1"/>
    <col min="5" max="5" width="54.6640625" bestFit="1" customWidth="1"/>
    <col min="6" max="6" width="25.1640625" bestFit="1" customWidth="1"/>
  </cols>
  <sheetData>
    <row r="1" spans="1:6" ht="21" thickBot="1">
      <c r="A1" s="278" t="s">
        <v>354</v>
      </c>
      <c r="B1" s="278" t="s">
        <v>355</v>
      </c>
      <c r="C1" s="278" t="s">
        <v>356</v>
      </c>
      <c r="D1" s="278" t="s">
        <v>357</v>
      </c>
      <c r="E1" s="278" t="s">
        <v>358</v>
      </c>
      <c r="F1" s="279" t="s">
        <v>359</v>
      </c>
    </row>
    <row r="2" spans="1:6">
      <c r="A2" t="s">
        <v>362</v>
      </c>
      <c r="E2" t="s">
        <v>363</v>
      </c>
    </row>
    <row r="3" spans="1:6">
      <c r="A3" t="s">
        <v>362</v>
      </c>
      <c r="E3" t="s">
        <v>364</v>
      </c>
    </row>
    <row r="4" spans="1:6">
      <c r="A4" t="s">
        <v>362</v>
      </c>
      <c r="E4" t="s">
        <v>360</v>
      </c>
    </row>
    <row r="5" spans="1:6">
      <c r="A5" t="s">
        <v>362</v>
      </c>
      <c r="E5" t="s">
        <v>361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7030A0"/>
  </sheetPr>
  <dimension ref="A1"/>
  <sheetViews>
    <sheetView showGridLines="0" zoomScale="70" zoomScaleNormal="70" workbookViewId="0">
      <selection activeCell="AC11" sqref="AC11"/>
    </sheetView>
  </sheetViews>
  <sheetFormatPr defaultColWidth="8.83203125" defaultRowHeight="12.75"/>
  <cols>
    <col min="1" max="16384" width="8.83203125" style="366"/>
  </cols>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tabColor theme="3" tint="0.39997558519241921"/>
    <pageSetUpPr fitToPage="1"/>
  </sheetPr>
  <dimension ref="A1:AC115"/>
  <sheetViews>
    <sheetView topLeftCell="A25" zoomScale="70" zoomScaleNormal="70" workbookViewId="0">
      <selection activeCell="B13" sqref="B13"/>
    </sheetView>
  </sheetViews>
  <sheetFormatPr defaultColWidth="9.33203125" defaultRowHeight="12.75"/>
  <cols>
    <col min="1" max="1" width="9.33203125" style="2"/>
    <col min="2" max="2" width="50.83203125" style="2" customWidth="1"/>
    <col min="3" max="3" width="23.5" style="2" bestFit="1" customWidth="1"/>
    <col min="4" max="4" width="12.83203125" style="2" customWidth="1"/>
    <col min="5" max="5" width="9" style="2" bestFit="1" customWidth="1"/>
    <col min="6" max="6" width="5.83203125" style="2" customWidth="1"/>
    <col min="7" max="7" width="35.83203125" style="2" customWidth="1"/>
    <col min="8" max="8" width="11" style="2" bestFit="1" customWidth="1"/>
    <col min="9" max="9" width="8.5" style="2" bestFit="1" customWidth="1"/>
    <col min="10" max="10" width="10.1640625" style="2" customWidth="1"/>
    <col min="11" max="13" width="9.33203125" style="2"/>
    <col min="14" max="14" width="15.5" style="2" bestFit="1" customWidth="1"/>
    <col min="15" max="15" width="15.83203125" style="2" bestFit="1" customWidth="1"/>
    <col min="16" max="16" width="16.83203125" style="2" customWidth="1"/>
    <col min="17" max="17" width="12.33203125" style="2" customWidth="1"/>
    <col min="18" max="18" width="18.5" style="2" customWidth="1"/>
    <col min="19" max="19" width="11.1640625" style="2" customWidth="1"/>
    <col min="20" max="20" width="17" style="2" customWidth="1"/>
    <col min="21" max="21" width="18.33203125" style="2" customWidth="1"/>
    <col min="22" max="22" width="9.33203125" style="2"/>
    <col min="23" max="23" width="15.5" style="2" bestFit="1" customWidth="1"/>
    <col min="24" max="24" width="15.83203125" style="2" bestFit="1" customWidth="1"/>
    <col min="25" max="25" width="14.33203125" style="2" customWidth="1"/>
    <col min="26" max="26" width="5.1640625" style="2" bestFit="1" customWidth="1"/>
    <col min="27" max="27" width="26.6640625" style="2" bestFit="1" customWidth="1"/>
    <col min="28" max="28" width="23.33203125" style="2" bestFit="1" customWidth="1"/>
    <col min="29" max="29" width="41" style="2" bestFit="1" customWidth="1"/>
    <col min="30" max="16384" width="9.33203125" style="2"/>
  </cols>
  <sheetData>
    <row r="1" spans="1:23" ht="39" customHeight="1" thickBot="1">
      <c r="A1" s="9"/>
      <c r="B1" s="5"/>
      <c r="C1" s="6"/>
      <c r="D1" s="6"/>
      <c r="E1" s="9"/>
      <c r="F1" s="6"/>
      <c r="G1" s="6"/>
      <c r="H1" s="8"/>
      <c r="I1" s="8"/>
      <c r="J1" s="9"/>
    </row>
    <row r="2" spans="1:23" ht="21.75" thickTop="1" thickBot="1">
      <c r="A2" s="9"/>
      <c r="B2" s="372" t="s">
        <v>3</v>
      </c>
      <c r="C2" s="373"/>
      <c r="D2" s="373"/>
      <c r="E2" s="373"/>
      <c r="F2" s="373"/>
      <c r="G2" s="373"/>
      <c r="H2" s="373"/>
      <c r="I2" s="373"/>
      <c r="J2" s="373"/>
      <c r="K2" s="367" t="s">
        <v>344</v>
      </c>
      <c r="L2" s="368"/>
      <c r="M2" s="368"/>
      <c r="N2" s="368"/>
      <c r="O2" s="368"/>
      <c r="P2" s="368"/>
      <c r="Q2" s="368"/>
      <c r="R2" s="368"/>
      <c r="S2" s="368"/>
      <c r="T2" s="368"/>
      <c r="U2" s="368"/>
      <c r="V2" s="368"/>
      <c r="W2" s="368"/>
    </row>
    <row r="3" spans="1:23" ht="21" thickTop="1">
      <c r="A3" s="9"/>
      <c r="B3" s="74" t="s">
        <v>212</v>
      </c>
      <c r="C3" s="72" t="s">
        <v>213</v>
      </c>
      <c r="D3" s="9"/>
      <c r="E3" s="13"/>
      <c r="F3" s="9"/>
      <c r="G3" s="9"/>
      <c r="H3" s="9"/>
      <c r="I3" s="9"/>
      <c r="J3" s="7"/>
      <c r="K3" s="367" t="s">
        <v>1</v>
      </c>
      <c r="L3" s="368"/>
      <c r="M3" s="368"/>
      <c r="N3" s="368"/>
      <c r="O3" s="368"/>
      <c r="P3" s="368"/>
      <c r="Q3" s="368"/>
      <c r="R3" s="368"/>
      <c r="S3" s="368"/>
      <c r="T3" s="368"/>
      <c r="U3" s="368"/>
      <c r="V3" s="368"/>
      <c r="W3" s="368"/>
    </row>
    <row r="4" spans="1:23" ht="12" customHeight="1" thickBot="1">
      <c r="A4" s="9"/>
      <c r="B4" s="9"/>
      <c r="C4" s="9"/>
      <c r="D4" s="9"/>
      <c r="E4" s="13"/>
      <c r="F4" s="9"/>
      <c r="G4" s="9"/>
      <c r="H4" s="9"/>
      <c r="I4" s="9"/>
      <c r="J4" s="7"/>
      <c r="K4" s="265"/>
      <c r="L4" s="265"/>
      <c r="M4" s="265"/>
      <c r="N4" s="265"/>
      <c r="O4" s="265"/>
      <c r="P4" s="265"/>
      <c r="Q4" s="265"/>
      <c r="R4" s="265"/>
      <c r="S4" s="265"/>
      <c r="T4" s="265"/>
      <c r="U4" s="265"/>
      <c r="V4" s="265"/>
      <c r="W4" s="265"/>
    </row>
    <row r="5" spans="1:23" ht="12.6" customHeight="1" thickTop="1">
      <c r="A5" s="9"/>
      <c r="B5" s="374" t="s">
        <v>186</v>
      </c>
      <c r="C5" s="375"/>
      <c r="D5" s="375"/>
      <c r="E5" s="375"/>
      <c r="F5" s="375"/>
      <c r="G5" s="375"/>
      <c r="H5" s="375"/>
      <c r="I5" s="376"/>
      <c r="J5" s="35"/>
      <c r="K5" s="265"/>
      <c r="L5" s="265"/>
      <c r="M5" s="265"/>
      <c r="N5" s="265"/>
      <c r="O5" s="265"/>
      <c r="P5" s="265"/>
      <c r="Q5" s="265"/>
      <c r="R5" s="265"/>
      <c r="S5" s="265"/>
      <c r="T5" s="265"/>
      <c r="U5" s="265"/>
      <c r="V5" s="265"/>
      <c r="W5" s="265"/>
    </row>
    <row r="6" spans="1:23">
      <c r="A6" s="9"/>
      <c r="B6" s="17"/>
      <c r="C6" s="15"/>
      <c r="D6" s="15"/>
      <c r="E6" s="18"/>
      <c r="F6" s="15"/>
      <c r="G6" s="15"/>
      <c r="H6" s="15"/>
      <c r="I6" s="25"/>
      <c r="J6" s="9"/>
      <c r="K6" s="265"/>
      <c r="L6" s="265"/>
      <c r="M6" s="265"/>
      <c r="N6" s="265"/>
      <c r="O6" s="265"/>
      <c r="P6" s="265"/>
      <c r="Q6" s="265"/>
      <c r="R6" s="265"/>
      <c r="S6" s="265"/>
      <c r="T6" s="265"/>
      <c r="U6" s="265"/>
      <c r="V6" s="265"/>
      <c r="W6" s="265"/>
    </row>
    <row r="7" spans="1:23">
      <c r="A7" s="9"/>
      <c r="B7" s="383" t="s">
        <v>203</v>
      </c>
      <c r="C7" s="384"/>
      <c r="D7" s="384"/>
      <c r="E7" s="384"/>
      <c r="F7" s="384"/>
      <c r="G7" s="384"/>
      <c r="H7" s="384"/>
      <c r="I7" s="385"/>
      <c r="J7" s="9"/>
      <c r="K7" s="265"/>
      <c r="L7" s="265"/>
      <c r="M7" s="265"/>
      <c r="N7" s="265"/>
      <c r="O7" s="265"/>
      <c r="P7" s="265"/>
      <c r="Q7" s="265"/>
      <c r="R7" s="265"/>
      <c r="S7" s="265"/>
      <c r="T7" s="265"/>
      <c r="U7" s="265"/>
      <c r="V7" s="265"/>
      <c r="W7" s="265"/>
    </row>
    <row r="8" spans="1:23">
      <c r="A8" s="9"/>
      <c r="B8" s="75" t="s">
        <v>1</v>
      </c>
      <c r="C8" s="76" t="s">
        <v>207</v>
      </c>
      <c r="D8" s="88"/>
      <c r="E8" s="89" t="s">
        <v>178</v>
      </c>
      <c r="F8" s="77"/>
      <c r="G8" s="76" t="s">
        <v>340</v>
      </c>
      <c r="H8" s="77" t="s">
        <v>257</v>
      </c>
      <c r="I8" s="78"/>
      <c r="J8" s="9"/>
      <c r="K8" s="265"/>
      <c r="L8" s="265"/>
      <c r="M8" s="265"/>
      <c r="N8" s="265"/>
      <c r="O8" s="265"/>
      <c r="P8" s="265"/>
      <c r="Q8" s="265"/>
      <c r="R8" s="265"/>
      <c r="S8" s="265"/>
      <c r="T8" s="265"/>
      <c r="U8" s="265"/>
      <c r="V8" s="265"/>
      <c r="W8" s="265"/>
    </row>
    <row r="9" spans="1:23">
      <c r="A9" s="9"/>
      <c r="B9" s="79" t="s">
        <v>205</v>
      </c>
      <c r="C9" s="76" t="s">
        <v>208</v>
      </c>
      <c r="D9" s="88"/>
      <c r="E9" s="89" t="s">
        <v>7</v>
      </c>
      <c r="F9" s="77"/>
      <c r="G9" s="77"/>
      <c r="H9" s="77"/>
      <c r="I9" s="78"/>
      <c r="J9" s="9"/>
      <c r="K9" s="265"/>
      <c r="L9" s="265"/>
      <c r="M9" s="265"/>
      <c r="N9" s="265"/>
      <c r="O9" s="265"/>
      <c r="P9" s="265"/>
      <c r="Q9" s="265"/>
      <c r="R9" s="265"/>
      <c r="S9" s="265"/>
      <c r="T9" s="265"/>
      <c r="U9" s="265"/>
      <c r="V9" s="265"/>
      <c r="W9" s="265"/>
    </row>
    <row r="10" spans="1:23">
      <c r="A10" s="9"/>
      <c r="B10" s="79" t="s">
        <v>382</v>
      </c>
      <c r="C10" s="76" t="s">
        <v>208</v>
      </c>
      <c r="D10" s="88"/>
      <c r="E10" s="89" t="s">
        <v>7</v>
      </c>
      <c r="F10" s="77"/>
      <c r="G10" s="77"/>
      <c r="H10" s="77"/>
      <c r="I10" s="78"/>
      <c r="J10" s="9"/>
      <c r="K10" s="265"/>
      <c r="L10" s="265"/>
      <c r="M10" s="265"/>
      <c r="N10" s="265"/>
      <c r="O10" s="265"/>
      <c r="P10" s="265"/>
      <c r="Q10" s="265"/>
      <c r="R10" s="265"/>
      <c r="S10" s="265"/>
      <c r="T10" s="265"/>
      <c r="U10" s="265"/>
      <c r="V10" s="265"/>
      <c r="W10" s="265"/>
    </row>
    <row r="11" spans="1:23">
      <c r="A11" s="9"/>
      <c r="B11" s="79" t="s">
        <v>206</v>
      </c>
      <c r="C11" s="76" t="s">
        <v>208</v>
      </c>
      <c r="D11" s="88"/>
      <c r="E11" s="89" t="s">
        <v>7</v>
      </c>
      <c r="F11" s="77"/>
      <c r="G11" s="77"/>
      <c r="H11" s="77"/>
      <c r="I11" s="78"/>
      <c r="J11" s="9"/>
      <c r="K11" s="265"/>
      <c r="L11" s="265"/>
      <c r="M11" s="265"/>
      <c r="N11" s="265"/>
      <c r="O11" s="265"/>
      <c r="P11" s="265"/>
      <c r="Q11" s="265"/>
      <c r="R11" s="265"/>
      <c r="S11" s="265"/>
      <c r="T11" s="265"/>
      <c r="U11" s="265"/>
      <c r="V11" s="265"/>
      <c r="W11" s="265"/>
    </row>
    <row r="12" spans="1:23">
      <c r="A12" s="9"/>
      <c r="B12" s="79" t="s">
        <v>383</v>
      </c>
      <c r="C12" s="76" t="s">
        <v>209</v>
      </c>
      <c r="D12" s="88"/>
      <c r="E12" s="89" t="s">
        <v>179</v>
      </c>
      <c r="F12" s="77"/>
      <c r="G12" s="77"/>
      <c r="H12" s="77"/>
      <c r="I12" s="78"/>
      <c r="J12" s="9"/>
      <c r="K12" s="265"/>
      <c r="L12" s="265"/>
      <c r="M12" s="265"/>
      <c r="N12" s="265"/>
      <c r="O12" s="265"/>
      <c r="P12" s="265"/>
      <c r="Q12" s="265"/>
      <c r="R12" s="265"/>
      <c r="S12" s="265"/>
      <c r="T12" s="265"/>
      <c r="U12" s="265"/>
      <c r="V12" s="265"/>
      <c r="W12" s="265"/>
    </row>
    <row r="13" spans="1:23">
      <c r="A13" s="9"/>
      <c r="B13" s="79" t="s">
        <v>210</v>
      </c>
      <c r="C13" s="76" t="s">
        <v>211</v>
      </c>
      <c r="D13" s="88"/>
      <c r="E13" s="89" t="s">
        <v>10</v>
      </c>
      <c r="F13" s="77"/>
      <c r="G13" s="77"/>
      <c r="H13" s="77"/>
      <c r="I13" s="78"/>
      <c r="J13" s="9"/>
      <c r="K13" s="265"/>
      <c r="L13" s="265"/>
      <c r="M13" s="265"/>
      <c r="N13" s="265"/>
      <c r="O13" s="265"/>
      <c r="P13" s="265"/>
      <c r="Q13" s="265"/>
      <c r="R13" s="265"/>
      <c r="S13" s="265"/>
      <c r="T13" s="265"/>
      <c r="U13" s="265"/>
      <c r="V13" s="265"/>
      <c r="W13" s="265"/>
    </row>
    <row r="14" spans="1:23">
      <c r="A14" s="9"/>
      <c r="B14" s="17"/>
      <c r="C14" s="15"/>
      <c r="D14" s="15"/>
      <c r="E14" s="18"/>
      <c r="F14" s="15"/>
      <c r="G14" s="15"/>
      <c r="H14" s="15"/>
      <c r="I14" s="25"/>
      <c r="J14" s="9"/>
      <c r="K14" s="265"/>
      <c r="L14" s="265"/>
      <c r="M14" s="265"/>
      <c r="N14" s="265"/>
      <c r="O14" s="265"/>
      <c r="P14" s="265"/>
      <c r="Q14" s="265"/>
      <c r="R14" s="265"/>
      <c r="S14" s="265"/>
      <c r="T14" s="265"/>
      <c r="U14" s="265"/>
      <c r="V14" s="265"/>
      <c r="W14" s="265"/>
    </row>
    <row r="15" spans="1:23">
      <c r="A15" s="9"/>
      <c r="B15" s="386" t="s">
        <v>202</v>
      </c>
      <c r="C15" s="387"/>
      <c r="D15" s="387"/>
      <c r="E15" s="387"/>
      <c r="F15" s="387"/>
      <c r="G15" s="387"/>
      <c r="H15" s="387"/>
      <c r="I15" s="388"/>
      <c r="J15" s="9"/>
      <c r="K15" s="265"/>
      <c r="L15" s="265"/>
      <c r="M15" s="265"/>
      <c r="N15" s="265"/>
      <c r="O15" s="265"/>
      <c r="P15" s="265"/>
      <c r="Q15" s="265"/>
      <c r="R15" s="265"/>
      <c r="S15" s="265"/>
      <c r="T15" s="265"/>
      <c r="U15" s="265"/>
      <c r="V15" s="265"/>
      <c r="W15" s="265"/>
    </row>
    <row r="16" spans="1:23">
      <c r="A16" s="9"/>
      <c r="B16" s="17"/>
      <c r="C16" s="15"/>
      <c r="D16" s="15"/>
      <c r="E16" s="18"/>
      <c r="F16" s="15"/>
      <c r="G16" s="15"/>
      <c r="H16" s="15"/>
      <c r="I16" s="25"/>
      <c r="J16" s="9"/>
      <c r="K16" s="265"/>
      <c r="L16" s="265"/>
      <c r="M16" s="265"/>
      <c r="N16" s="265"/>
      <c r="O16" s="265"/>
      <c r="P16" s="265"/>
      <c r="Q16" s="265"/>
      <c r="R16" s="265"/>
      <c r="S16" s="265"/>
      <c r="T16" s="265"/>
      <c r="U16" s="265"/>
      <c r="V16" s="265"/>
      <c r="W16" s="265"/>
    </row>
    <row r="17" spans="1:23">
      <c r="A17" s="9"/>
      <c r="B17" s="17" t="s">
        <v>4</v>
      </c>
      <c r="C17" s="80">
        <v>600</v>
      </c>
      <c r="D17" s="20">
        <f>IF(C17&lt;&gt;"",C17,IF(AND('Chemical Propulsion - Sizing'!H47&lt;&gt;'Chemical Propulsion - Sizing'!D8,'Chemical Propulsion - Sizing'!H47&lt;&gt;""),'Chemical Propulsion - Sizing'!H47,'Chemical Propulsion - Sizing'!D8))</f>
        <v>600</v>
      </c>
      <c r="E17" s="18" t="s">
        <v>178</v>
      </c>
      <c r="F17" s="15"/>
      <c r="G17" s="15" t="s">
        <v>5</v>
      </c>
      <c r="H17" s="20">
        <f>IF(D20&lt;&gt;"",D20/LN(1/D22)/(Earth_Mu/Earth_Radius^2*1000),"")</f>
        <v>6.3412618042146223</v>
      </c>
      <c r="I17" s="19" t="s">
        <v>178</v>
      </c>
      <c r="J17" s="9"/>
      <c r="K17" s="265"/>
      <c r="L17" s="265"/>
      <c r="M17" s="265"/>
      <c r="N17" s="270"/>
      <c r="O17" s="265"/>
      <c r="P17" s="268"/>
      <c r="Q17" s="268"/>
      <c r="R17" s="268"/>
      <c r="S17" s="268"/>
      <c r="T17" s="268"/>
      <c r="U17" s="265"/>
      <c r="V17" s="265"/>
      <c r="W17" s="265"/>
    </row>
    <row r="18" spans="1:23">
      <c r="A18" s="9"/>
      <c r="B18" s="17"/>
      <c r="C18" s="15"/>
      <c r="D18" s="15"/>
      <c r="E18" s="18"/>
      <c r="F18" s="15"/>
      <c r="G18" s="15"/>
      <c r="H18" s="20"/>
      <c r="I18" s="19"/>
      <c r="J18" s="9"/>
      <c r="K18" s="265"/>
      <c r="L18" s="265"/>
      <c r="M18" s="265"/>
      <c r="N18" s="270"/>
      <c r="O18" s="268"/>
      <c r="P18" s="271"/>
      <c r="Q18" s="268"/>
      <c r="R18" s="268"/>
      <c r="S18" s="268"/>
      <c r="T18" s="265"/>
      <c r="U18" s="265"/>
      <c r="V18" s="265"/>
      <c r="W18" s="265"/>
    </row>
    <row r="19" spans="1:23">
      <c r="A19" s="9"/>
      <c r="B19" s="17" t="s">
        <v>6</v>
      </c>
      <c r="C19" s="80">
        <v>12</v>
      </c>
      <c r="D19" s="20">
        <f>IF(C19&lt;&gt;"",C19,IF(AND('Chemical Propulsion - Sizing'!D9&lt;&gt;"N/A",'Chemical Propulsion - Sizing'!D10&lt;&gt;"N/A",'Chemical Propulsion - Sizing'!D11&lt;&gt;"N/A",'Chemical Propulsion - Sizing'!D12&lt;&gt;"N/A"),('Chemical Propulsion - Sizing'!D9+'Chemical Propulsion - Sizing'!D10-'Chemical Propulsion - Sizing'!D11)*(1+'Chemical Propulsion - Sizing'!D12),"error"))</f>
        <v>12</v>
      </c>
      <c r="E19" s="18" t="s">
        <v>7</v>
      </c>
      <c r="F19" s="15"/>
      <c r="G19" s="15" t="s">
        <v>8</v>
      </c>
      <c r="H19" s="20">
        <f>IF(AND(D19&lt;&gt;"",H22&lt;&gt;"",H23&lt;&gt;""),D19+H22+H23,"")</f>
        <v>12.25843742031881</v>
      </c>
      <c r="I19" s="19" t="s">
        <v>7</v>
      </c>
      <c r="J19" s="9"/>
      <c r="K19" s="265"/>
      <c r="L19" s="265"/>
      <c r="M19" s="265"/>
      <c r="N19" s="270"/>
      <c r="O19" s="268"/>
      <c r="P19" s="271"/>
      <c r="Q19" s="268"/>
      <c r="R19" s="268"/>
      <c r="S19" s="268"/>
      <c r="T19" s="265"/>
      <c r="U19" s="265"/>
      <c r="V19" s="265"/>
      <c r="W19" s="265"/>
    </row>
    <row r="20" spans="1:23">
      <c r="A20" s="9"/>
      <c r="B20" s="17" t="s">
        <v>9</v>
      </c>
      <c r="C20" s="80">
        <v>100</v>
      </c>
      <c r="D20" s="20">
        <f>IF(C20&lt;&gt;"",C20,IF('Chemical Propulsion - Sizing'!D13&lt;&gt;"N/A",'Chemical Propulsion - Sizing'!D13,"error"))</f>
        <v>100</v>
      </c>
      <c r="E20" s="18" t="s">
        <v>10</v>
      </c>
      <c r="F20" s="15"/>
      <c r="G20" s="15" t="s">
        <v>11</v>
      </c>
      <c r="H20" s="20">
        <f>IF(AND(H19&lt;&gt;"",H22&lt;&gt;""),H19-H22,"")</f>
        <v>12.051687484063763</v>
      </c>
      <c r="I20" s="19" t="s">
        <v>7</v>
      </c>
      <c r="J20" s="9"/>
      <c r="K20" s="265"/>
      <c r="L20" s="265"/>
      <c r="M20" s="265"/>
      <c r="N20" s="270"/>
      <c r="O20" s="268"/>
      <c r="P20" s="271"/>
      <c r="Q20" s="268"/>
      <c r="R20" s="268"/>
      <c r="S20" s="268"/>
      <c r="T20" s="265"/>
      <c r="U20" s="265"/>
      <c r="V20" s="265"/>
      <c r="W20" s="265"/>
    </row>
    <row r="21" spans="1:23">
      <c r="A21" s="9"/>
      <c r="B21" s="275" t="s">
        <v>342</v>
      </c>
      <c r="C21" s="80">
        <v>80</v>
      </c>
      <c r="D21" s="20">
        <f>IF(C21&lt;&gt;"",C21,"")</f>
        <v>80</v>
      </c>
      <c r="E21" s="18" t="s">
        <v>10</v>
      </c>
      <c r="F21" s="15"/>
      <c r="G21" s="15"/>
      <c r="H21" s="20"/>
      <c r="I21" s="19"/>
      <c r="J21" s="9"/>
      <c r="K21" s="265"/>
      <c r="L21" s="265"/>
      <c r="M21" s="265"/>
      <c r="N21" s="270"/>
      <c r="O21" s="268"/>
      <c r="P21" s="271"/>
      <c r="Q21" s="268"/>
      <c r="R21" s="268"/>
      <c r="S21" s="268"/>
      <c r="T21" s="265"/>
      <c r="U21" s="265"/>
      <c r="V21" s="265"/>
      <c r="W21" s="265"/>
    </row>
    <row r="22" spans="1:23">
      <c r="A22" s="9"/>
      <c r="B22" s="17" t="s">
        <v>12</v>
      </c>
      <c r="C22" s="80"/>
      <c r="D22" s="27">
        <f>IF(C22&lt;&gt;"",C22,0.2)</f>
        <v>0.2</v>
      </c>
      <c r="E22" s="18"/>
      <c r="F22" s="15"/>
      <c r="G22" s="277" t="s">
        <v>350</v>
      </c>
      <c r="H22" s="20">
        <f>IF(AND(D17&lt;&gt;"",D19&lt;&gt;"",D20&lt;&gt;""),D19*(EXP(D20/D17/(Earth_Mu/Earth_Radius^2*1000))-1)*(1-D22)/(1-D22*EXP(D20/D17/(Earth_Mu/Earth_Radius^2*1000))),"")</f>
        <v>0.20674993625504778</v>
      </c>
      <c r="I22" s="19" t="s">
        <v>7</v>
      </c>
      <c r="J22" s="9"/>
      <c r="K22" s="265"/>
      <c r="L22" s="265"/>
      <c r="M22" s="265"/>
      <c r="N22" s="270"/>
      <c r="O22" s="268"/>
      <c r="P22" s="271"/>
      <c r="Q22" s="268"/>
      <c r="R22" s="268"/>
      <c r="S22" s="268"/>
      <c r="T22" s="265"/>
      <c r="U22" s="265"/>
      <c r="V22" s="265"/>
      <c r="W22" s="265"/>
    </row>
    <row r="23" spans="1:23" ht="13.5" thickBot="1">
      <c r="A23" s="9"/>
      <c r="B23" s="17" t="s">
        <v>15</v>
      </c>
      <c r="C23" s="80">
        <v>1</v>
      </c>
      <c r="D23" s="24">
        <f>IF(C23&lt;&gt;"",C23,1.5)</f>
        <v>1</v>
      </c>
      <c r="E23" s="18"/>
      <c r="F23" s="15"/>
      <c r="G23" s="15" t="s">
        <v>14</v>
      </c>
      <c r="H23" s="20">
        <f>IF(H22&lt;&gt;"",D22*H22/(1-D22),"")</f>
        <v>5.1687484063761946E-2</v>
      </c>
      <c r="I23" s="19" t="s">
        <v>7</v>
      </c>
      <c r="J23" s="9"/>
      <c r="K23" s="265"/>
      <c r="L23" s="265"/>
      <c r="M23" s="265"/>
      <c r="N23" s="270"/>
      <c r="O23" s="268"/>
      <c r="P23" s="271"/>
      <c r="Q23" s="268"/>
      <c r="R23" s="268"/>
      <c r="S23" s="268"/>
      <c r="T23" s="265"/>
      <c r="U23" s="265"/>
      <c r="V23" s="265"/>
      <c r="W23" s="265"/>
    </row>
    <row r="24" spans="1:23" ht="14.1" customHeight="1" thickTop="1">
      <c r="A24" s="9"/>
      <c r="B24" s="275" t="s">
        <v>343</v>
      </c>
      <c r="C24" s="80">
        <v>300</v>
      </c>
      <c r="D24" s="24">
        <f>IF(C24&lt;&gt;"",C24,300)</f>
        <v>300</v>
      </c>
      <c r="E24" s="18" t="s">
        <v>178</v>
      </c>
      <c r="F24" s="15"/>
      <c r="G24" s="15"/>
      <c r="H24" s="20"/>
      <c r="I24" s="19"/>
      <c r="J24" s="9"/>
      <c r="K24" s="367" t="s">
        <v>345</v>
      </c>
      <c r="L24" s="368"/>
      <c r="M24" s="368"/>
      <c r="N24" s="368"/>
      <c r="O24" s="368"/>
      <c r="P24" s="368"/>
      <c r="Q24" s="368"/>
      <c r="R24" s="368"/>
      <c r="S24" s="368"/>
      <c r="T24" s="368"/>
      <c r="U24" s="368"/>
      <c r="V24" s="368"/>
      <c r="W24" s="368"/>
    </row>
    <row r="25" spans="1:23">
      <c r="A25" s="9"/>
      <c r="B25" s="17"/>
      <c r="C25" s="15"/>
      <c r="D25" s="15"/>
      <c r="E25" s="18"/>
      <c r="F25" s="15"/>
      <c r="G25" s="277" t="s">
        <v>351</v>
      </c>
      <c r="H25" s="20">
        <f>IF(H19&lt;&gt;"",D23*H19*(Earth_Mu/Earth_Radius^2*1000),"")</f>
        <v>120.11166937303601</v>
      </c>
      <c r="I25" s="19" t="s">
        <v>17</v>
      </c>
      <c r="J25" s="9"/>
      <c r="K25" s="265"/>
      <c r="L25" s="265"/>
      <c r="M25" s="265"/>
      <c r="N25" s="270"/>
      <c r="O25" s="271"/>
      <c r="P25" s="268"/>
      <c r="Q25" s="271"/>
      <c r="R25" s="271"/>
      <c r="S25" s="271"/>
      <c r="T25" s="271"/>
      <c r="U25" s="265"/>
      <c r="V25" s="265"/>
      <c r="W25" s="265"/>
    </row>
    <row r="26" spans="1:23">
      <c r="A26" s="9"/>
      <c r="B26" s="275" t="s">
        <v>341</v>
      </c>
      <c r="C26" s="276"/>
      <c r="D26" s="20">
        <f>(H25/H19)*D24</f>
        <v>2939.4856437561898</v>
      </c>
      <c r="E26" s="18" t="s">
        <v>10</v>
      </c>
      <c r="F26" s="15"/>
      <c r="G26" s="15" t="s">
        <v>18</v>
      </c>
      <c r="H26" s="20">
        <f>IF(AND(D17&lt;&gt;"",H19&lt;&gt;""),D23*H19/D17,"")</f>
        <v>2.0430729033864684E-2</v>
      </c>
      <c r="I26" s="19" t="s">
        <v>19</v>
      </c>
      <c r="J26" s="9"/>
      <c r="K26" s="265"/>
      <c r="L26" s="265"/>
      <c r="M26" s="265"/>
      <c r="N26" s="270"/>
      <c r="O26" s="271"/>
      <c r="P26" s="268"/>
      <c r="Q26" s="271"/>
      <c r="R26" s="271"/>
      <c r="S26" s="271"/>
      <c r="T26" s="271"/>
      <c r="U26" s="265"/>
      <c r="V26" s="265"/>
      <c r="W26" s="265"/>
    </row>
    <row r="27" spans="1:23">
      <c r="A27" s="9"/>
      <c r="B27" s="17"/>
      <c r="C27" s="15"/>
      <c r="D27" s="15"/>
      <c r="E27" s="18"/>
      <c r="F27" s="15"/>
      <c r="G27" s="15"/>
      <c r="H27" s="20"/>
      <c r="I27" s="19"/>
      <c r="J27" s="9"/>
      <c r="K27" s="265"/>
      <c r="L27" s="265"/>
      <c r="M27" s="265"/>
      <c r="N27" s="270"/>
      <c r="O27" s="271"/>
      <c r="P27" s="268"/>
      <c r="Q27" s="271"/>
      <c r="R27" s="271"/>
      <c r="S27" s="271"/>
      <c r="T27" s="271"/>
      <c r="U27" s="265"/>
      <c r="V27" s="265"/>
      <c r="W27" s="265"/>
    </row>
    <row r="28" spans="1:23">
      <c r="A28" s="9"/>
      <c r="B28" s="389" t="s">
        <v>204</v>
      </c>
      <c r="C28" s="390"/>
      <c r="D28" s="390"/>
      <c r="E28" s="390"/>
      <c r="F28" s="390"/>
      <c r="G28" s="390"/>
      <c r="H28" s="390"/>
      <c r="I28" s="391"/>
      <c r="J28" s="9"/>
      <c r="K28" s="265"/>
      <c r="L28" s="265"/>
      <c r="M28" s="265"/>
      <c r="N28" s="270"/>
      <c r="O28" s="271"/>
      <c r="P28" s="268"/>
      <c r="Q28" s="271"/>
      <c r="R28" s="271"/>
      <c r="S28" s="271"/>
      <c r="T28" s="271"/>
      <c r="U28" s="265"/>
      <c r="V28" s="265"/>
      <c r="W28" s="265"/>
    </row>
    <row r="29" spans="1:23">
      <c r="A29" s="9"/>
      <c r="B29" s="81" t="s">
        <v>1</v>
      </c>
      <c r="C29" s="82"/>
      <c r="D29" s="84">
        <f>D17</f>
        <v>600</v>
      </c>
      <c r="E29" s="90" t="s">
        <v>178</v>
      </c>
      <c r="F29" s="83"/>
      <c r="G29" s="83"/>
      <c r="H29" s="84"/>
      <c r="I29" s="85"/>
      <c r="J29" s="9"/>
      <c r="K29" s="265"/>
      <c r="L29" s="265"/>
      <c r="M29" s="265"/>
      <c r="N29" s="270"/>
      <c r="O29" s="271"/>
      <c r="P29" s="268"/>
      <c r="Q29" s="271"/>
      <c r="R29" s="271"/>
      <c r="S29" s="271"/>
      <c r="T29" s="271"/>
      <c r="U29" s="265"/>
      <c r="V29" s="265"/>
      <c r="W29" s="265"/>
    </row>
    <row r="30" spans="1:23">
      <c r="A30" s="9"/>
      <c r="B30" s="81" t="s">
        <v>172</v>
      </c>
      <c r="C30" s="82" t="s">
        <v>208</v>
      </c>
      <c r="D30" s="91">
        <f>D22</f>
        <v>0.2</v>
      </c>
      <c r="E30" s="90"/>
      <c r="F30" s="83"/>
      <c r="G30" s="83"/>
      <c r="H30" s="84"/>
      <c r="I30" s="85"/>
      <c r="J30" s="9"/>
      <c r="K30" s="265"/>
      <c r="L30" s="265"/>
      <c r="M30" s="265"/>
      <c r="N30" s="270"/>
      <c r="O30" s="271"/>
      <c r="P30" s="268"/>
      <c r="Q30" s="271"/>
      <c r="R30" s="271"/>
      <c r="S30" s="271"/>
      <c r="T30" s="271"/>
      <c r="U30" s="265"/>
      <c r="V30" s="265"/>
      <c r="W30" s="265"/>
    </row>
    <row r="31" spans="1:23">
      <c r="A31" s="9"/>
      <c r="B31" s="81" t="s">
        <v>176</v>
      </c>
      <c r="C31" s="82" t="s">
        <v>208</v>
      </c>
      <c r="D31" s="84">
        <f>H22</f>
        <v>0.20674993625504778</v>
      </c>
      <c r="E31" s="90" t="s">
        <v>7</v>
      </c>
      <c r="F31" s="83"/>
      <c r="G31" s="83"/>
      <c r="H31" s="84"/>
      <c r="I31" s="85"/>
      <c r="J31" s="9"/>
      <c r="K31" s="265"/>
      <c r="L31" s="265"/>
      <c r="M31" s="265"/>
      <c r="N31" s="270"/>
      <c r="O31" s="271"/>
      <c r="P31" s="268"/>
      <c r="Q31" s="271"/>
      <c r="R31" s="271"/>
      <c r="S31" s="271"/>
      <c r="T31" s="271"/>
      <c r="U31" s="265"/>
      <c r="V31" s="265"/>
      <c r="W31" s="265"/>
    </row>
    <row r="32" spans="1:23" ht="13.5" thickBot="1">
      <c r="A32" s="9"/>
      <c r="B32" s="29"/>
      <c r="C32" s="30"/>
      <c r="D32" s="30"/>
      <c r="E32" s="30"/>
      <c r="F32" s="30"/>
      <c r="G32" s="30"/>
      <c r="H32" s="30"/>
      <c r="I32" s="33"/>
      <c r="J32" s="9"/>
      <c r="K32" s="265"/>
      <c r="L32" s="265"/>
      <c r="M32" s="265"/>
      <c r="N32" s="270"/>
      <c r="O32" s="271"/>
      <c r="P32" s="268"/>
      <c r="Q32" s="271"/>
      <c r="R32" s="271"/>
      <c r="S32" s="271"/>
      <c r="T32" s="271"/>
      <c r="U32" s="265"/>
      <c r="V32" s="265"/>
      <c r="W32" s="265"/>
    </row>
    <row r="33" spans="1:23" ht="14.25" thickTop="1" thickBot="1">
      <c r="A33" s="9"/>
      <c r="B33" s="9"/>
      <c r="C33" s="9"/>
      <c r="D33" s="9"/>
      <c r="E33" s="13"/>
      <c r="F33" s="9"/>
      <c r="G33" s="9"/>
      <c r="H33" s="9"/>
      <c r="I33" s="13"/>
      <c r="J33" s="9"/>
      <c r="K33" s="265"/>
      <c r="L33" s="265"/>
      <c r="M33" s="265"/>
      <c r="N33" s="270"/>
      <c r="O33" s="271"/>
      <c r="P33" s="268"/>
      <c r="Q33" s="271"/>
      <c r="R33" s="271"/>
      <c r="S33" s="271"/>
      <c r="T33" s="271"/>
      <c r="U33" s="265"/>
      <c r="V33" s="265"/>
      <c r="W33" s="265"/>
    </row>
    <row r="34" spans="1:23" ht="12.75" customHeight="1" thickTop="1">
      <c r="A34" s="9"/>
      <c r="B34" s="377" t="s">
        <v>201</v>
      </c>
      <c r="C34" s="378"/>
      <c r="D34" s="378"/>
      <c r="E34" s="378"/>
      <c r="F34" s="378"/>
      <c r="G34" s="378"/>
      <c r="H34" s="378"/>
      <c r="I34" s="379"/>
      <c r="J34" s="9"/>
      <c r="K34" s="265"/>
      <c r="L34" s="265"/>
      <c r="M34" s="265"/>
      <c r="N34" s="270"/>
      <c r="O34" s="268"/>
      <c r="P34" s="268"/>
      <c r="Q34" s="271"/>
      <c r="R34" s="271"/>
      <c r="S34" s="271"/>
      <c r="T34" s="271"/>
      <c r="U34" s="265"/>
      <c r="V34" s="265"/>
      <c r="W34" s="265"/>
    </row>
    <row r="35" spans="1:23">
      <c r="A35" s="9"/>
      <c r="B35" s="39"/>
      <c r="C35" s="40"/>
      <c r="D35" s="40"/>
      <c r="E35" s="40"/>
      <c r="F35" s="40"/>
      <c r="G35" s="40"/>
      <c r="H35" s="40"/>
      <c r="I35" s="41"/>
      <c r="J35" s="9"/>
      <c r="K35" s="265"/>
      <c r="L35" s="265"/>
      <c r="M35" s="265"/>
      <c r="N35" s="265"/>
      <c r="O35" s="265"/>
      <c r="P35" s="265"/>
      <c r="Q35" s="265"/>
      <c r="R35" s="265"/>
      <c r="S35" s="265"/>
      <c r="T35" s="265"/>
      <c r="U35" s="265"/>
      <c r="V35" s="265"/>
      <c r="W35" s="265"/>
    </row>
    <row r="36" spans="1:23">
      <c r="A36" s="9"/>
      <c r="B36" s="392" t="s">
        <v>202</v>
      </c>
      <c r="C36" s="393"/>
      <c r="D36" s="393"/>
      <c r="E36" s="393"/>
      <c r="F36" s="393"/>
      <c r="G36" s="393"/>
      <c r="H36" s="393"/>
      <c r="I36" s="394"/>
      <c r="J36" s="9"/>
      <c r="K36" s="265"/>
      <c r="L36" s="265"/>
      <c r="M36" s="265"/>
      <c r="N36" s="265"/>
      <c r="O36" s="265"/>
      <c r="P36" s="265"/>
      <c r="Q36" s="265"/>
      <c r="R36" s="265"/>
      <c r="S36" s="265"/>
      <c r="T36" s="265"/>
      <c r="U36" s="265"/>
      <c r="V36" s="265"/>
      <c r="W36" s="265"/>
    </row>
    <row r="37" spans="1:23">
      <c r="A37" s="9"/>
      <c r="B37" s="39"/>
      <c r="C37" s="40"/>
      <c r="D37" s="40"/>
      <c r="E37" s="40"/>
      <c r="F37" s="40"/>
      <c r="G37" s="40"/>
      <c r="H37" s="40"/>
      <c r="I37" s="41"/>
      <c r="J37" s="9"/>
      <c r="K37" s="265"/>
      <c r="L37" s="265"/>
      <c r="M37" s="265"/>
      <c r="N37" s="265"/>
      <c r="O37" s="265"/>
      <c r="P37" s="265"/>
      <c r="Q37" s="265"/>
      <c r="R37" s="265"/>
      <c r="S37" s="265"/>
      <c r="T37" s="265"/>
      <c r="U37" s="265"/>
      <c r="V37" s="265"/>
      <c r="W37" s="265"/>
    </row>
    <row r="38" spans="1:23">
      <c r="A38" s="12"/>
      <c r="B38" s="39" t="s">
        <v>34</v>
      </c>
      <c r="C38" s="80"/>
      <c r="D38" s="42" t="str">
        <f>IF(C38&lt;&gt;"",C38,"")</f>
        <v/>
      </c>
      <c r="E38" s="43" t="s">
        <v>35</v>
      </c>
      <c r="F38" s="40"/>
      <c r="G38" s="40" t="s">
        <v>36</v>
      </c>
      <c r="H38" s="44" t="str">
        <f>IF(D38&lt;&gt;"",8314.41/D38,"")</f>
        <v/>
      </c>
      <c r="I38" s="45" t="s">
        <v>37</v>
      </c>
      <c r="J38" s="9"/>
      <c r="K38" s="265"/>
      <c r="L38" s="265"/>
      <c r="M38" s="265"/>
      <c r="N38" s="265"/>
      <c r="O38" s="265"/>
      <c r="P38" s="265"/>
      <c r="Q38" s="265"/>
      <c r="R38" s="265"/>
      <c r="S38" s="265"/>
      <c r="T38" s="265"/>
      <c r="U38" s="265"/>
      <c r="V38" s="265"/>
      <c r="W38" s="265"/>
    </row>
    <row r="39" spans="1:23">
      <c r="A39" s="9"/>
      <c r="B39" s="39" t="s">
        <v>38</v>
      </c>
      <c r="C39" s="80">
        <v>2</v>
      </c>
      <c r="D39" s="44">
        <f>IF(C39&lt;&gt;"",C39,1.4)</f>
        <v>2</v>
      </c>
      <c r="E39" s="43"/>
      <c r="F39" s="40"/>
      <c r="G39" s="40"/>
      <c r="H39" s="46"/>
      <c r="I39" s="45"/>
      <c r="J39" s="9"/>
      <c r="K39" s="265"/>
      <c r="L39" s="265"/>
      <c r="M39" s="265"/>
      <c r="N39" s="265"/>
      <c r="O39" s="265"/>
      <c r="P39" s="265"/>
      <c r="Q39" s="265"/>
      <c r="R39" s="265"/>
      <c r="S39" s="265"/>
      <c r="T39" s="265"/>
      <c r="U39" s="265"/>
      <c r="V39" s="265"/>
      <c r="W39" s="265"/>
    </row>
    <row r="40" spans="1:23">
      <c r="A40" s="9"/>
      <c r="B40" s="39"/>
      <c r="C40" s="40"/>
      <c r="D40" s="46"/>
      <c r="E40" s="43"/>
      <c r="F40" s="40"/>
      <c r="G40" s="40" t="s">
        <v>39</v>
      </c>
      <c r="H40" s="47" t="str">
        <f>IF(AND(D41&lt;&gt;"",H38&lt;&gt;""),SQRT(D39*H38*D41),"")</f>
        <v/>
      </c>
      <c r="I40" s="45" t="s">
        <v>10</v>
      </c>
      <c r="J40" s="9"/>
      <c r="K40" s="265"/>
      <c r="L40" s="265"/>
      <c r="M40" s="265"/>
      <c r="N40" s="265"/>
      <c r="O40" s="265"/>
      <c r="P40" s="265"/>
      <c r="Q40" s="265"/>
      <c r="R40" s="265"/>
      <c r="S40" s="265"/>
      <c r="T40" s="265"/>
      <c r="U40" s="265"/>
      <c r="V40" s="265"/>
      <c r="W40" s="265"/>
    </row>
    <row r="41" spans="1:23">
      <c r="A41" s="9"/>
      <c r="B41" s="39" t="s">
        <v>40</v>
      </c>
      <c r="C41" s="80">
        <v>2</v>
      </c>
      <c r="D41" s="42">
        <f>IF(C41&lt;&gt;"",C41,"")</f>
        <v>2</v>
      </c>
      <c r="E41" s="43" t="s">
        <v>41</v>
      </c>
      <c r="F41" s="40"/>
      <c r="G41" s="40" t="s">
        <v>42</v>
      </c>
      <c r="H41" s="42" t="str">
        <f>IF(H40&lt;&gt;"",D43*H40/D39/(2/(D39+1))^((D39+1)/2/(D39-1)),"")</f>
        <v/>
      </c>
      <c r="I41" s="45" t="s">
        <v>10</v>
      </c>
      <c r="J41" s="9"/>
      <c r="K41" s="265"/>
      <c r="L41" s="265"/>
      <c r="M41" s="265"/>
      <c r="N41" s="265"/>
      <c r="O41" s="265"/>
      <c r="P41" s="265"/>
      <c r="Q41" s="265"/>
      <c r="R41" s="265"/>
      <c r="S41" s="265"/>
      <c r="T41" s="265"/>
      <c r="U41" s="265"/>
      <c r="V41" s="265"/>
      <c r="W41" s="265"/>
    </row>
    <row r="42" spans="1:23" ht="13.5" thickBot="1">
      <c r="A42" s="9"/>
      <c r="B42" s="39" t="s">
        <v>43</v>
      </c>
      <c r="C42" s="80">
        <v>2</v>
      </c>
      <c r="D42" s="48">
        <f>IF(C42&lt;&gt;"",C42,"")</f>
        <v>2</v>
      </c>
      <c r="E42" s="43" t="s">
        <v>44</v>
      </c>
      <c r="F42" s="40"/>
      <c r="G42" s="40"/>
      <c r="H42" s="46"/>
      <c r="I42" s="45"/>
      <c r="J42" s="9"/>
      <c r="K42" s="265"/>
      <c r="L42" s="265"/>
      <c r="M42" s="265"/>
      <c r="N42" s="265"/>
      <c r="O42" s="265"/>
      <c r="P42" s="265"/>
      <c r="Q42" s="265"/>
      <c r="R42" s="265"/>
      <c r="S42" s="265"/>
      <c r="T42" s="265"/>
      <c r="U42" s="265"/>
      <c r="V42" s="265"/>
      <c r="W42" s="265"/>
    </row>
    <row r="43" spans="1:23" ht="21" thickTop="1">
      <c r="A43" s="9"/>
      <c r="B43" s="39" t="s">
        <v>45</v>
      </c>
      <c r="C43" s="80"/>
      <c r="D43" s="49">
        <f>IF(C43&lt;&gt;"",C43,0.95)</f>
        <v>0.95</v>
      </c>
      <c r="E43" s="43"/>
      <c r="F43" s="40"/>
      <c r="G43" s="40" t="s">
        <v>46</v>
      </c>
      <c r="H43" s="49">
        <f>0.5*(1+COS(D48*PI()/180))</f>
        <v>0.9829629131445341</v>
      </c>
      <c r="I43" s="45"/>
      <c r="J43" s="9"/>
      <c r="K43" s="367" t="s">
        <v>346</v>
      </c>
      <c r="L43" s="368"/>
      <c r="M43" s="368"/>
      <c r="N43" s="368"/>
      <c r="O43" s="368"/>
      <c r="P43" s="368"/>
      <c r="Q43" s="368"/>
      <c r="R43" s="368"/>
      <c r="S43" s="368"/>
      <c r="T43" s="368"/>
      <c r="U43" s="368"/>
      <c r="V43" s="368"/>
      <c r="W43" s="368"/>
    </row>
    <row r="44" spans="1:23">
      <c r="A44" s="9"/>
      <c r="B44" s="39"/>
      <c r="C44" s="40"/>
      <c r="D44" s="46"/>
      <c r="E44" s="43"/>
      <c r="F44" s="40"/>
      <c r="G44" s="40" t="s">
        <v>47</v>
      </c>
      <c r="H44" s="48">
        <f>IF(AND(D42&lt;&gt;"",D47&lt;&gt;""),D42*(1+(D39-1)/2*D47^2)^(D39/(1-D39)),"")</f>
        <v>0.48009047449810505</v>
      </c>
      <c r="I44" s="45" t="s">
        <v>44</v>
      </c>
      <c r="J44" s="9"/>
      <c r="K44" s="265"/>
      <c r="L44" s="265"/>
      <c r="M44" s="265"/>
      <c r="N44" s="265"/>
      <c r="O44" s="265"/>
      <c r="P44" s="265"/>
      <c r="Q44" s="265"/>
      <c r="R44" s="265"/>
      <c r="S44" s="265"/>
      <c r="T44" s="265"/>
      <c r="U44" s="265"/>
      <c r="V44" s="265"/>
      <c r="W44" s="265"/>
    </row>
    <row r="45" spans="1:23">
      <c r="A45" s="9"/>
      <c r="B45" s="39"/>
      <c r="C45" s="40"/>
      <c r="D45" s="46"/>
      <c r="E45" s="43"/>
      <c r="F45" s="40"/>
      <c r="G45" s="40"/>
      <c r="H45" s="46"/>
      <c r="I45" s="45"/>
      <c r="J45" s="9"/>
      <c r="K45" s="265"/>
      <c r="L45" s="265"/>
      <c r="M45" s="265"/>
      <c r="N45" s="265"/>
      <c r="O45" s="265"/>
      <c r="P45" s="265"/>
      <c r="Q45" s="265"/>
      <c r="R45" s="265"/>
      <c r="S45" s="265"/>
      <c r="T45" s="265"/>
      <c r="U45" s="265"/>
      <c r="V45" s="265"/>
      <c r="W45" s="265"/>
    </row>
    <row r="46" spans="1:23">
      <c r="A46" s="9"/>
      <c r="B46" s="39" t="s">
        <v>48</v>
      </c>
      <c r="C46" s="80">
        <v>1.1000000000000001</v>
      </c>
      <c r="D46" s="263">
        <f>IF(C46&lt;&gt;"",C46,IF(C47&lt;&gt;"",1/C47*((2/(D39+1)*(1+(D39-1)/2*C47^2))^((D39+1)/2/(D39-1))),""))</f>
        <v>1.1000000000000001</v>
      </c>
      <c r="E46" s="43"/>
      <c r="F46" s="40"/>
      <c r="G46" s="40" t="s">
        <v>49</v>
      </c>
      <c r="H46" s="42" t="str">
        <f>IF(AND(H41&lt;&gt;"",H44&lt;&gt;"",D42&lt;&gt;"",D46&lt;&gt;""),H43*(H41*D39/(Earth_Mu/Earth_Radius^2*1000)*SQRT(2/(D39-1)*(2/(D39+1))^((D39+1)/(D39-1))*(1-(H44/D42)^((D39-1)/D39)))+H41*D46/D42/(Earth_Mu/Earth_Radius^2*1000)*(H44-D50)),"")</f>
        <v/>
      </c>
      <c r="I46" s="45" t="s">
        <v>178</v>
      </c>
      <c r="J46" s="9"/>
      <c r="K46" s="265"/>
      <c r="L46" s="265"/>
      <c r="M46" s="265"/>
      <c r="N46" s="265"/>
      <c r="O46" s="265"/>
      <c r="P46" s="265"/>
      <c r="Q46" s="265"/>
      <c r="R46" s="265"/>
      <c r="S46" s="265"/>
      <c r="T46" s="265"/>
      <c r="U46" s="265"/>
      <c r="V46" s="265"/>
      <c r="W46" s="265"/>
    </row>
    <row r="47" spans="1:23">
      <c r="A47" s="9"/>
      <c r="B47" s="39" t="s">
        <v>50</v>
      </c>
      <c r="C47" s="80">
        <v>1.4429477497139043</v>
      </c>
      <c r="D47" s="50">
        <f>IF(C47&lt;&gt;"",C47,"")</f>
        <v>1.4429477497139043</v>
      </c>
      <c r="E47" s="43"/>
      <c r="F47" s="38"/>
      <c r="G47" s="40" t="s">
        <v>51</v>
      </c>
      <c r="H47" s="42" t="str">
        <f>IF(AND(H41&lt;&gt;"",H44&lt;&gt;"",D42&lt;&gt;"",D46&lt;&gt;""),H43*(H41*D39/(Earth_Mu/Earth_Radius^2*1000)*SQRT(2/(D39-1)*(2/(D39+1))^((D39+1)/(D39-1))*(1-(H44/D42)^((D39-1)/D39)))+H41*D46/D42/(Earth_Mu/Earth_Radius^2*1000)*H44),"")</f>
        <v/>
      </c>
      <c r="I47" s="45" t="s">
        <v>178</v>
      </c>
      <c r="J47" s="9"/>
      <c r="K47" s="265"/>
      <c r="L47" s="272">
        <f>IF(C46&lt;&gt;"",(D46-1/D47*((2/(D39+1)*(1+(D39-1)/2*D47^2))^((D39+1)/2/(D39-1))))*100000,"")</f>
        <v>-2.2328539017735238E-4</v>
      </c>
      <c r="M47" s="265"/>
      <c r="N47" s="265"/>
      <c r="O47" s="265"/>
      <c r="P47" s="265"/>
      <c r="Q47" s="265"/>
      <c r="R47" s="265"/>
      <c r="S47" s="265"/>
      <c r="T47" s="265"/>
      <c r="U47" s="265"/>
      <c r="V47" s="265"/>
      <c r="W47" s="265"/>
    </row>
    <row r="48" spans="1:23">
      <c r="A48" s="9"/>
      <c r="B48" s="39" t="s">
        <v>52</v>
      </c>
      <c r="C48" s="80"/>
      <c r="D48" s="50">
        <f>IF(C48&lt;&gt;"",C48,15)</f>
        <v>15</v>
      </c>
      <c r="E48" s="43" t="s">
        <v>53</v>
      </c>
      <c r="F48" s="40"/>
      <c r="G48" s="40" t="s">
        <v>54</v>
      </c>
      <c r="H48" s="42" t="str">
        <f>IF(H41&lt;&gt;"",H43*(H41*D39/(Earth_Mu/Earth_Radius^2*1000)*SQRT(2/(D39-1)*(2/(D39+1))^((D39+1)/(D39-1)))),"")</f>
        <v/>
      </c>
      <c r="I48" s="45" t="s">
        <v>178</v>
      </c>
      <c r="J48" s="9"/>
      <c r="K48" s="265"/>
      <c r="L48" s="265"/>
      <c r="M48" s="265"/>
      <c r="N48" s="265"/>
      <c r="O48" s="265"/>
      <c r="P48" s="265"/>
      <c r="Q48" s="265"/>
      <c r="R48" s="265"/>
      <c r="S48" s="265"/>
      <c r="T48" s="265"/>
      <c r="U48" s="265"/>
      <c r="V48" s="265"/>
      <c r="W48" s="265"/>
    </row>
    <row r="49" spans="1:29">
      <c r="A49" s="9"/>
      <c r="B49" s="39"/>
      <c r="C49" s="40"/>
      <c r="D49" s="46"/>
      <c r="E49" s="43"/>
      <c r="F49" s="40"/>
      <c r="G49" s="40"/>
      <c r="H49" s="46"/>
      <c r="I49" s="45"/>
      <c r="J49" s="9"/>
      <c r="K49" s="265"/>
      <c r="L49" s="265"/>
      <c r="M49" s="265"/>
      <c r="N49" s="265"/>
      <c r="O49" s="265"/>
      <c r="P49" s="265"/>
      <c r="Q49" s="265"/>
      <c r="R49" s="265"/>
      <c r="S49" s="265"/>
      <c r="T49" s="265"/>
      <c r="U49" s="265"/>
      <c r="V49" s="265"/>
      <c r="W49" s="265"/>
    </row>
    <row r="50" spans="1:29">
      <c r="A50" s="9"/>
      <c r="B50" s="39" t="s">
        <v>55</v>
      </c>
      <c r="C50" s="80"/>
      <c r="D50" s="48">
        <f>IF(C50&lt;&gt;"",C50,101325)</f>
        <v>101325</v>
      </c>
      <c r="E50" s="43" t="s">
        <v>44</v>
      </c>
      <c r="F50" s="40"/>
      <c r="G50" s="40"/>
      <c r="H50" s="46"/>
      <c r="I50" s="45"/>
      <c r="J50" s="9"/>
      <c r="K50" s="265"/>
      <c r="L50" s="265"/>
      <c r="M50" s="265"/>
      <c r="N50" s="265"/>
      <c r="O50" s="265"/>
      <c r="P50" s="265"/>
      <c r="Q50" s="265"/>
      <c r="R50" s="265"/>
      <c r="S50" s="265"/>
      <c r="T50" s="265"/>
      <c r="U50" s="265"/>
      <c r="V50" s="265"/>
      <c r="W50" s="265"/>
    </row>
    <row r="51" spans="1:29">
      <c r="A51" s="9"/>
      <c r="B51" s="39"/>
      <c r="C51" s="40"/>
      <c r="D51" s="46"/>
      <c r="E51" s="43"/>
      <c r="F51" s="40"/>
      <c r="G51" s="40"/>
      <c r="H51" s="46"/>
      <c r="I51" s="45"/>
      <c r="J51" s="9"/>
      <c r="K51" s="265"/>
      <c r="L51" s="265"/>
      <c r="M51" s="265"/>
      <c r="N51" s="265"/>
      <c r="O51" s="265"/>
      <c r="P51" s="265"/>
      <c r="Q51" s="265"/>
      <c r="R51" s="265"/>
      <c r="S51" s="265"/>
      <c r="T51" s="265"/>
      <c r="U51" s="265"/>
      <c r="V51" s="265"/>
      <c r="W51" s="265"/>
    </row>
    <row r="52" spans="1:29">
      <c r="A52" s="9"/>
      <c r="B52" s="39"/>
      <c r="C52" s="40"/>
      <c r="D52" s="46"/>
      <c r="E52" s="43"/>
      <c r="F52" s="40"/>
      <c r="G52" s="40"/>
      <c r="H52" s="46"/>
      <c r="I52" s="45"/>
      <c r="J52" s="9"/>
      <c r="K52" s="265"/>
      <c r="L52" s="265"/>
      <c r="M52" s="265"/>
      <c r="N52" s="265"/>
      <c r="O52" s="265"/>
      <c r="P52" s="265"/>
      <c r="Q52" s="265"/>
      <c r="R52" s="265"/>
      <c r="S52" s="265"/>
      <c r="T52" s="265"/>
      <c r="U52" s="265"/>
      <c r="V52" s="265"/>
      <c r="W52" s="265"/>
    </row>
    <row r="53" spans="1:29" ht="13.5">
      <c r="A53" s="9"/>
      <c r="B53" s="51" t="s">
        <v>56</v>
      </c>
      <c r="C53" s="52"/>
      <c r="D53" s="52"/>
      <c r="E53" s="52"/>
      <c r="F53" s="52"/>
      <c r="G53" s="52"/>
      <c r="H53" s="52"/>
      <c r="I53" s="53"/>
      <c r="J53" s="9"/>
      <c r="K53" s="265"/>
      <c r="L53" s="265"/>
      <c r="M53" s="265"/>
      <c r="N53" s="265"/>
      <c r="O53" s="265"/>
      <c r="P53" s="265"/>
      <c r="Q53" s="265"/>
      <c r="R53" s="265"/>
      <c r="S53" s="265"/>
      <c r="T53" s="265"/>
      <c r="U53" s="265"/>
      <c r="V53" s="265"/>
      <c r="W53" s="265"/>
    </row>
    <row r="54" spans="1:29" ht="13.5">
      <c r="A54" s="9"/>
      <c r="B54" s="51"/>
      <c r="C54" s="52"/>
      <c r="D54" s="52"/>
      <c r="E54" s="52"/>
      <c r="F54" s="52"/>
      <c r="G54" s="52"/>
      <c r="H54" s="52"/>
      <c r="I54" s="53"/>
      <c r="J54" s="9"/>
      <c r="K54" s="265"/>
      <c r="L54" s="265"/>
      <c r="M54" s="265"/>
      <c r="N54" s="265"/>
      <c r="O54" s="265"/>
      <c r="P54" s="265"/>
      <c r="Q54" s="265"/>
      <c r="R54" s="265"/>
      <c r="S54" s="265"/>
      <c r="T54" s="265"/>
      <c r="U54" s="265"/>
      <c r="V54" s="265"/>
      <c r="W54" s="265"/>
    </row>
    <row r="55" spans="1:29">
      <c r="A55" s="9"/>
      <c r="B55" s="39" t="s">
        <v>18</v>
      </c>
      <c r="C55" s="80"/>
      <c r="D55" s="50">
        <f>IF(C55&lt;&gt;"",C55,IF('Chemical Propulsion - Sizing'!H26&lt;&gt;"",'Chemical Propulsion - Sizing'!H26,""))</f>
        <v>2.0430729033864684E-2</v>
      </c>
      <c r="E55" s="43" t="s">
        <v>19</v>
      </c>
      <c r="F55" s="40"/>
      <c r="G55" s="40" t="s">
        <v>57</v>
      </c>
      <c r="H55" s="44" t="str">
        <f>IF(AND(D55&lt;&gt;"",D42&lt;&gt;"",H41&lt;&gt;""),D55*H41/D42,"")</f>
        <v/>
      </c>
      <c r="I55" s="45" t="s">
        <v>58</v>
      </c>
      <c r="J55" s="9"/>
      <c r="K55" s="265"/>
      <c r="L55" s="265"/>
      <c r="M55" s="265"/>
      <c r="N55" s="265"/>
      <c r="O55" s="265"/>
      <c r="P55" s="273"/>
      <c r="Q55" s="273"/>
      <c r="R55" s="273"/>
      <c r="S55" s="273"/>
      <c r="T55" s="273"/>
      <c r="U55" s="273"/>
      <c r="V55" s="273"/>
      <c r="W55" s="273"/>
    </row>
    <row r="56" spans="1:29">
      <c r="A56" s="9"/>
      <c r="B56" s="39"/>
      <c r="C56" s="40"/>
      <c r="D56" s="46"/>
      <c r="E56" s="43"/>
      <c r="F56" s="40"/>
      <c r="G56" s="40" t="s">
        <v>59</v>
      </c>
      <c r="H56" s="44" t="str">
        <f>IF(H55&lt;&gt;"",2*SQRT(H55/PI()),"")</f>
        <v/>
      </c>
      <c r="I56" s="45" t="s">
        <v>60</v>
      </c>
      <c r="J56" s="9"/>
      <c r="K56" s="265"/>
      <c r="L56" s="265"/>
      <c r="M56" s="265"/>
      <c r="N56" s="265"/>
      <c r="O56" s="265"/>
      <c r="P56" s="273"/>
      <c r="Q56" s="273"/>
      <c r="R56" s="273"/>
      <c r="S56" s="273"/>
      <c r="T56" s="273"/>
      <c r="U56" s="273"/>
      <c r="V56" s="273"/>
      <c r="W56" s="273"/>
    </row>
    <row r="57" spans="1:29">
      <c r="A57" s="9"/>
      <c r="B57" s="39" t="s">
        <v>61</v>
      </c>
      <c r="C57" s="80"/>
      <c r="D57" s="50">
        <f>IF(C57&lt;&gt;"",C57,0.9)</f>
        <v>0.9</v>
      </c>
      <c r="E57" s="43" t="s">
        <v>60</v>
      </c>
      <c r="F57" s="40"/>
      <c r="G57" s="40"/>
      <c r="H57" s="44"/>
      <c r="I57" s="45"/>
      <c r="J57" s="9"/>
      <c r="K57" s="265"/>
      <c r="L57" s="265"/>
      <c r="M57" s="265"/>
      <c r="N57" s="265"/>
      <c r="O57" s="265"/>
      <c r="P57" s="273"/>
      <c r="Q57" s="273"/>
      <c r="R57" s="273"/>
      <c r="S57" s="273"/>
      <c r="T57" s="273"/>
      <c r="U57" s="273"/>
      <c r="V57" s="273"/>
      <c r="W57" s="273"/>
    </row>
    <row r="58" spans="1:29">
      <c r="A58" s="9"/>
      <c r="B58" s="39" t="s">
        <v>62</v>
      </c>
      <c r="C58" s="80"/>
      <c r="D58" s="50" t="str">
        <f>IF(C58&lt;&gt;"",C58,IF(H56&lt;&gt;"",8*(H56*100)^-0.6+1.25,""))</f>
        <v/>
      </c>
      <c r="E58" s="43"/>
      <c r="F58" s="40"/>
      <c r="G58" s="40" t="s">
        <v>63</v>
      </c>
      <c r="H58" s="44" t="str">
        <f>IF(AND(D46&lt;&gt;"",H55&lt;&gt;""),H55*D46,"")</f>
        <v/>
      </c>
      <c r="I58" s="45" t="s">
        <v>58</v>
      </c>
      <c r="J58" s="9"/>
      <c r="K58" s="265"/>
      <c r="L58" s="265"/>
      <c r="M58" s="265"/>
      <c r="N58" s="265"/>
      <c r="O58" s="265"/>
      <c r="P58" s="273"/>
      <c r="Q58" s="273"/>
      <c r="R58" s="273"/>
      <c r="S58" s="273"/>
      <c r="T58" s="273"/>
      <c r="U58" s="274"/>
      <c r="V58" s="274"/>
      <c r="W58" s="274"/>
      <c r="AA58" s="11"/>
      <c r="AB58" s="11"/>
      <c r="AC58" s="11"/>
    </row>
    <row r="59" spans="1:29">
      <c r="A59" s="9"/>
      <c r="B59" s="39"/>
      <c r="C59" s="40"/>
      <c r="D59" s="46"/>
      <c r="E59" s="43"/>
      <c r="F59" s="40"/>
      <c r="G59" s="40" t="s">
        <v>64</v>
      </c>
      <c r="H59" s="44" t="str">
        <f>IF(H58&lt;&gt;"",2*SQRT(H58/PI()),"")</f>
        <v/>
      </c>
      <c r="I59" s="45" t="s">
        <v>60</v>
      </c>
      <c r="J59" s="9"/>
      <c r="K59" s="270"/>
      <c r="L59" s="270"/>
      <c r="M59" s="270"/>
      <c r="N59" s="270"/>
      <c r="O59" s="270"/>
      <c r="P59" s="270"/>
      <c r="Q59" s="270"/>
      <c r="R59" s="270"/>
      <c r="S59" s="270"/>
      <c r="T59" s="270"/>
      <c r="U59" s="270"/>
      <c r="V59" s="270"/>
      <c r="W59" s="270"/>
      <c r="AA59" s="11"/>
      <c r="AB59" s="11"/>
      <c r="AC59" s="11"/>
    </row>
    <row r="60" spans="1:29">
      <c r="A60" s="9"/>
      <c r="B60" s="39"/>
      <c r="C60" s="40"/>
      <c r="D60" s="46"/>
      <c r="E60" s="43"/>
      <c r="F60" s="40"/>
      <c r="G60" s="40" t="s">
        <v>65</v>
      </c>
      <c r="H60" s="44" t="str">
        <f>IF(AND(H56&lt;&gt;"",H59&lt;&gt;""),(H59-H56)/2/TAN(D48*PI()/180),"")</f>
        <v/>
      </c>
      <c r="I60" s="45" t="s">
        <v>60</v>
      </c>
      <c r="J60" s="9"/>
      <c r="K60" s="270"/>
      <c r="L60" s="270"/>
      <c r="M60" s="270"/>
      <c r="N60" s="270"/>
      <c r="O60" s="270"/>
      <c r="P60" s="270"/>
      <c r="Q60" s="270"/>
      <c r="R60" s="270"/>
      <c r="S60" s="270"/>
      <c r="T60" s="270"/>
      <c r="U60" s="270"/>
      <c r="V60" s="270"/>
      <c r="W60" s="270"/>
      <c r="AA60" s="11"/>
      <c r="AB60" s="11"/>
      <c r="AC60" s="11"/>
    </row>
    <row r="61" spans="1:29" ht="13.5" thickBot="1">
      <c r="A61" s="9"/>
      <c r="B61" s="39"/>
      <c r="C61" s="40"/>
      <c r="D61" s="46"/>
      <c r="E61" s="43"/>
      <c r="F61" s="40"/>
      <c r="G61" s="40"/>
      <c r="H61" s="44"/>
      <c r="I61" s="45"/>
      <c r="J61" s="9"/>
      <c r="K61" s="270"/>
      <c r="L61" s="270"/>
      <c r="M61" s="270"/>
      <c r="N61" s="270"/>
      <c r="O61" s="270"/>
      <c r="P61" s="270"/>
      <c r="Q61" s="270"/>
      <c r="R61" s="270"/>
      <c r="S61" s="270"/>
      <c r="T61" s="270"/>
      <c r="U61" s="270"/>
      <c r="V61" s="270"/>
      <c r="W61" s="270"/>
      <c r="AA61" s="11"/>
      <c r="AB61" s="11"/>
      <c r="AC61" s="11"/>
    </row>
    <row r="62" spans="1:29" ht="21" thickTop="1">
      <c r="A62" s="9"/>
      <c r="B62" s="39"/>
      <c r="C62" s="40"/>
      <c r="D62" s="46"/>
      <c r="E62" s="43"/>
      <c r="F62" s="40"/>
      <c r="G62" s="40" t="s">
        <v>66</v>
      </c>
      <c r="H62" s="44" t="str">
        <f>IF(AND(D58&lt;&gt;"",H55&lt;&gt;""),D58*H55,"")</f>
        <v/>
      </c>
      <c r="I62" s="45" t="s">
        <v>58</v>
      </c>
      <c r="J62" s="9"/>
      <c r="K62" s="367" t="s">
        <v>347</v>
      </c>
      <c r="L62" s="368"/>
      <c r="M62" s="368"/>
      <c r="N62" s="368"/>
      <c r="O62" s="368"/>
      <c r="P62" s="368"/>
      <c r="Q62" s="368"/>
      <c r="R62" s="368"/>
      <c r="S62" s="368"/>
      <c r="T62" s="368"/>
      <c r="U62" s="368"/>
      <c r="V62" s="368"/>
      <c r="W62" s="368"/>
      <c r="AA62" s="11"/>
      <c r="AB62" s="11"/>
      <c r="AC62" s="11"/>
    </row>
    <row r="63" spans="1:29">
      <c r="A63" s="9"/>
      <c r="B63" s="39"/>
      <c r="C63" s="40"/>
      <c r="D63" s="46"/>
      <c r="E63" s="43"/>
      <c r="F63" s="40"/>
      <c r="G63" s="40" t="s">
        <v>67</v>
      </c>
      <c r="H63" s="44" t="str">
        <f>IF(H62&lt;&gt;"",2*SQRT(H62/PI()),"")</f>
        <v/>
      </c>
      <c r="I63" s="45" t="s">
        <v>60</v>
      </c>
      <c r="J63" s="9"/>
      <c r="K63" s="270"/>
      <c r="L63" s="270"/>
      <c r="M63" s="270"/>
      <c r="N63" s="270"/>
      <c r="O63" s="270"/>
      <c r="P63" s="270"/>
      <c r="Q63" s="270"/>
      <c r="R63" s="270"/>
      <c r="S63" s="270"/>
      <c r="T63" s="270"/>
      <c r="U63" s="270"/>
      <c r="V63" s="270"/>
      <c r="W63" s="270"/>
      <c r="AA63" s="11"/>
      <c r="AB63" s="11"/>
      <c r="AC63" s="11"/>
    </row>
    <row r="64" spans="1:29">
      <c r="A64" s="9"/>
      <c r="B64" s="39"/>
      <c r="C64" s="40"/>
      <c r="D64" s="46"/>
      <c r="E64" s="43"/>
      <c r="F64" s="40"/>
      <c r="G64" s="40" t="s">
        <v>68</v>
      </c>
      <c r="H64" s="44" t="str">
        <f>IF(D58&lt;&gt;"",D57/D58,"")</f>
        <v/>
      </c>
      <c r="I64" s="45" t="s">
        <v>60</v>
      </c>
      <c r="J64" s="9"/>
      <c r="K64" s="270"/>
      <c r="L64" s="270"/>
      <c r="M64" s="270"/>
      <c r="N64" s="270"/>
      <c r="O64" s="270"/>
      <c r="P64" s="270"/>
      <c r="Q64" s="270"/>
      <c r="R64" s="270"/>
      <c r="S64" s="270"/>
      <c r="T64" s="270"/>
      <c r="U64" s="270"/>
      <c r="V64" s="270"/>
      <c r="W64" s="270"/>
      <c r="AA64" s="11"/>
      <c r="AB64" s="11"/>
      <c r="AC64" s="11"/>
    </row>
    <row r="65" spans="1:29" ht="13.5" thickBot="1">
      <c r="A65" s="9"/>
      <c r="B65" s="54"/>
      <c r="C65" s="55"/>
      <c r="D65" s="55"/>
      <c r="E65" s="55"/>
      <c r="F65" s="55"/>
      <c r="G65" s="55"/>
      <c r="H65" s="55"/>
      <c r="I65" s="56"/>
      <c r="J65" s="9"/>
      <c r="K65" s="270"/>
      <c r="L65" s="270"/>
      <c r="M65" s="270"/>
      <c r="N65" s="270"/>
      <c r="O65" s="270"/>
      <c r="P65" s="270"/>
      <c r="Q65" s="270"/>
      <c r="R65" s="270"/>
      <c r="S65" s="270"/>
      <c r="T65" s="270"/>
      <c r="U65" s="270"/>
      <c r="V65" s="270"/>
      <c r="W65" s="270"/>
      <c r="AA65" s="11"/>
      <c r="AB65" s="11"/>
      <c r="AC65" s="11"/>
    </row>
    <row r="66" spans="1:29" ht="14.25" thickTop="1" thickBot="1">
      <c r="A66" s="9"/>
      <c r="B66" s="9"/>
      <c r="C66" s="9"/>
      <c r="D66" s="9"/>
      <c r="E66" s="9"/>
      <c r="F66" s="9"/>
      <c r="G66" s="9"/>
      <c r="H66" s="9"/>
      <c r="I66" s="9"/>
      <c r="J66" s="9"/>
      <c r="K66" s="270"/>
      <c r="L66" s="270"/>
      <c r="M66" s="270"/>
      <c r="N66" s="270"/>
      <c r="O66" s="270"/>
      <c r="P66" s="270"/>
      <c r="Q66" s="270"/>
      <c r="R66" s="270"/>
      <c r="S66" s="270"/>
      <c r="T66" s="270"/>
      <c r="U66" s="270"/>
      <c r="V66" s="270"/>
      <c r="W66" s="270"/>
      <c r="AA66" s="11"/>
      <c r="AB66" s="11"/>
      <c r="AC66" s="11"/>
    </row>
    <row r="67" spans="1:29" ht="12.75" customHeight="1" thickTop="1">
      <c r="A67" s="9"/>
      <c r="B67" s="380" t="s">
        <v>185</v>
      </c>
      <c r="C67" s="381"/>
      <c r="D67" s="381"/>
      <c r="E67" s="381"/>
      <c r="F67" s="381"/>
      <c r="G67" s="381"/>
      <c r="H67" s="381"/>
      <c r="I67" s="382"/>
      <c r="J67" s="9"/>
      <c r="K67" s="270"/>
      <c r="L67" s="270"/>
      <c r="M67" s="270"/>
      <c r="N67" s="270"/>
      <c r="O67" s="270"/>
      <c r="P67" s="270"/>
      <c r="Q67" s="270"/>
      <c r="R67" s="270"/>
      <c r="S67" s="270"/>
      <c r="T67" s="270"/>
      <c r="U67" s="270"/>
      <c r="V67" s="270"/>
      <c r="W67" s="270"/>
      <c r="AA67" s="11"/>
      <c r="AB67" s="11"/>
      <c r="AC67" s="11"/>
    </row>
    <row r="68" spans="1:29">
      <c r="A68" s="9"/>
      <c r="B68" s="57"/>
      <c r="C68" s="58"/>
      <c r="D68" s="58"/>
      <c r="E68" s="58"/>
      <c r="F68" s="58"/>
      <c r="G68" s="58"/>
      <c r="H68" s="58"/>
      <c r="I68" s="59"/>
      <c r="J68" s="9"/>
      <c r="K68" s="270"/>
      <c r="L68" s="270"/>
      <c r="M68" s="270"/>
      <c r="N68" s="270"/>
      <c r="O68" s="270"/>
      <c r="P68" s="270"/>
      <c r="Q68" s="270"/>
      <c r="R68" s="270"/>
      <c r="S68" s="270"/>
      <c r="T68" s="270"/>
      <c r="U68" s="270"/>
      <c r="V68" s="270"/>
      <c r="W68" s="270"/>
      <c r="AA68" s="11"/>
      <c r="AB68" s="11"/>
      <c r="AC68" s="11"/>
    </row>
    <row r="69" spans="1:29">
      <c r="A69" s="9"/>
      <c r="B69" s="369" t="s">
        <v>202</v>
      </c>
      <c r="C69" s="370"/>
      <c r="D69" s="370"/>
      <c r="E69" s="370"/>
      <c r="F69" s="370"/>
      <c r="G69" s="370"/>
      <c r="H69" s="370"/>
      <c r="I69" s="371"/>
      <c r="J69" s="9"/>
      <c r="K69" s="270"/>
      <c r="L69" s="270"/>
      <c r="M69" s="270"/>
      <c r="N69" s="270"/>
      <c r="O69" s="270"/>
      <c r="P69" s="270"/>
      <c r="Q69" s="270"/>
      <c r="R69" s="270"/>
      <c r="S69" s="270"/>
      <c r="T69" s="270"/>
      <c r="U69" s="270"/>
      <c r="V69" s="270"/>
      <c r="W69" s="270"/>
      <c r="AA69" s="11"/>
      <c r="AB69" s="11"/>
      <c r="AC69" s="11"/>
    </row>
    <row r="70" spans="1:29">
      <c r="A70" s="9"/>
      <c r="B70" s="57"/>
      <c r="C70" s="58"/>
      <c r="D70" s="58"/>
      <c r="E70" s="58"/>
      <c r="F70" s="58"/>
      <c r="G70" s="58"/>
      <c r="H70" s="58"/>
      <c r="I70" s="59"/>
      <c r="J70" s="9"/>
      <c r="K70" s="270"/>
      <c r="L70" s="270"/>
      <c r="M70" s="270"/>
      <c r="N70" s="270"/>
      <c r="O70" s="270"/>
      <c r="P70" s="270"/>
      <c r="Q70" s="270"/>
      <c r="R70" s="270"/>
      <c r="S70" s="270"/>
      <c r="T70" s="270"/>
      <c r="U70" s="270"/>
      <c r="V70" s="270"/>
      <c r="W70" s="270"/>
      <c r="AA70" s="11"/>
      <c r="AB70" s="11"/>
      <c r="AC70" s="11"/>
    </row>
    <row r="71" spans="1:29">
      <c r="A71" s="12"/>
      <c r="B71" s="57" t="s">
        <v>16</v>
      </c>
      <c r="C71" s="80"/>
      <c r="D71" s="60">
        <f>IF(C71&lt;&gt;"",C71,IF('Chemical Propulsion - Sizing'!H25&lt;&gt;"",'Chemical Propulsion - Sizing'!H25,""))</f>
        <v>120.11166937303601</v>
      </c>
      <c r="E71" s="61" t="s">
        <v>17</v>
      </c>
      <c r="F71" s="58"/>
      <c r="G71" s="58" t="s">
        <v>69</v>
      </c>
      <c r="H71" s="62">
        <f>IF(D71&lt;&gt;"",D71/(Earth_Mu/Earth_Radius^2*1000)/D72,"")</f>
        <v>2.0430729033864684E-2</v>
      </c>
      <c r="I71" s="63" t="s">
        <v>19</v>
      </c>
      <c r="J71" s="9"/>
      <c r="K71" s="270"/>
      <c r="L71" s="270"/>
      <c r="M71" s="270"/>
      <c r="N71" s="270"/>
      <c r="O71" s="270"/>
      <c r="P71" s="270"/>
      <c r="Q71" s="270"/>
      <c r="R71" s="270"/>
      <c r="S71" s="270"/>
      <c r="T71" s="270"/>
      <c r="U71" s="270"/>
      <c r="V71" s="270"/>
      <c r="W71" s="270"/>
      <c r="AA71" s="11"/>
      <c r="AB71" s="11"/>
      <c r="AC71" s="11"/>
    </row>
    <row r="72" spans="1:29">
      <c r="A72" s="9"/>
      <c r="B72" s="57" t="s">
        <v>4</v>
      </c>
      <c r="C72" s="80"/>
      <c r="D72" s="60">
        <f>IF(C72&lt;&gt;"",C72,D17)</f>
        <v>600</v>
      </c>
      <c r="E72" s="61" t="s">
        <v>178</v>
      </c>
      <c r="F72" s="58"/>
      <c r="G72" s="58" t="s">
        <v>70</v>
      </c>
      <c r="H72" s="62">
        <f>IF(H71&lt;&gt;"",H71/(1+D75),"")</f>
        <v>2.0430729033864684E-2</v>
      </c>
      <c r="I72" s="63" t="s">
        <v>19</v>
      </c>
      <c r="J72" s="6"/>
      <c r="K72" s="270"/>
      <c r="L72" s="270"/>
      <c r="M72" s="270"/>
      <c r="N72" s="270"/>
      <c r="O72" s="270"/>
      <c r="P72" s="270"/>
      <c r="Q72" s="270"/>
      <c r="R72" s="270"/>
      <c r="S72" s="270"/>
      <c r="T72" s="270"/>
      <c r="U72" s="270"/>
      <c r="V72" s="270"/>
      <c r="W72" s="270"/>
      <c r="AA72" s="11"/>
      <c r="AB72" s="11"/>
      <c r="AC72" s="11"/>
    </row>
    <row r="73" spans="1:29">
      <c r="A73" s="9"/>
      <c r="B73" s="57" t="s">
        <v>13</v>
      </c>
      <c r="C73" s="80"/>
      <c r="D73" s="60">
        <f>IF(C73&lt;&gt;"",C73,IF('Chemical Propulsion - Sizing'!H22&lt;&gt;"",'Chemical Propulsion - Sizing'!H22,""))</f>
        <v>0.20674993625504778</v>
      </c>
      <c r="E73" s="61" t="s">
        <v>7</v>
      </c>
      <c r="F73" s="58"/>
      <c r="G73" s="58" t="s">
        <v>71</v>
      </c>
      <c r="H73" s="62">
        <f>IF(H71&lt;&gt;"",H71*(D75/(D75+1)),"")</f>
        <v>0</v>
      </c>
      <c r="I73" s="63" t="s">
        <v>19</v>
      </c>
      <c r="J73" s="9"/>
      <c r="K73" s="270"/>
      <c r="L73" s="270"/>
      <c r="M73" s="270"/>
      <c r="N73" s="270"/>
      <c r="O73" s="270"/>
      <c r="P73" s="270"/>
      <c r="Q73" s="270"/>
      <c r="R73" s="270"/>
      <c r="S73" s="270"/>
      <c r="T73" s="270"/>
      <c r="U73" s="270"/>
      <c r="V73" s="270"/>
      <c r="W73" s="270"/>
      <c r="AA73" s="11"/>
      <c r="AB73" s="11"/>
      <c r="AC73" s="11"/>
    </row>
    <row r="74" spans="1:29">
      <c r="A74" s="9"/>
      <c r="B74" s="57"/>
      <c r="C74" s="58"/>
      <c r="D74" s="64"/>
      <c r="E74" s="61"/>
      <c r="F74" s="58"/>
      <c r="G74" s="58"/>
      <c r="H74" s="58"/>
      <c r="I74" s="63"/>
      <c r="J74" s="9"/>
      <c r="K74" s="270"/>
      <c r="L74" s="270"/>
      <c r="M74" s="270"/>
      <c r="N74" s="270"/>
      <c r="O74" s="270"/>
      <c r="P74" s="270"/>
      <c r="Q74" s="270"/>
      <c r="R74" s="270"/>
      <c r="S74" s="270"/>
      <c r="T74" s="270"/>
      <c r="U74" s="270"/>
      <c r="V74" s="270"/>
      <c r="W74" s="270"/>
      <c r="AA74" s="11"/>
      <c r="AB74" s="11"/>
      <c r="AC74" s="11"/>
    </row>
    <row r="75" spans="1:29">
      <c r="A75" s="9"/>
      <c r="B75" s="57" t="s">
        <v>72</v>
      </c>
      <c r="C75" s="80">
        <v>0</v>
      </c>
      <c r="D75" s="62">
        <f>IF(C75&lt;&gt;"",C75,3.5)</f>
        <v>0</v>
      </c>
      <c r="E75" s="61"/>
      <c r="F75" s="58"/>
      <c r="G75" s="58" t="s">
        <v>73</v>
      </c>
      <c r="H75" s="60">
        <f>IF(D73&lt;&gt;"",D73/(1+D75),"")</f>
        <v>0.20674993625504778</v>
      </c>
      <c r="I75" s="63" t="s">
        <v>7</v>
      </c>
      <c r="J75" s="9"/>
      <c r="K75" s="270"/>
      <c r="L75" s="270"/>
      <c r="M75" s="270"/>
      <c r="N75" s="270"/>
      <c r="O75" s="270"/>
      <c r="P75" s="270"/>
      <c r="Q75" s="270"/>
      <c r="R75" s="270"/>
      <c r="S75" s="270"/>
      <c r="T75" s="270"/>
      <c r="U75" s="270"/>
      <c r="V75" s="270"/>
      <c r="W75" s="270"/>
      <c r="AA75" s="11"/>
      <c r="AB75" s="11"/>
      <c r="AC75" s="11"/>
    </row>
    <row r="76" spans="1:29">
      <c r="A76" s="9"/>
      <c r="B76" s="57" t="s">
        <v>74</v>
      </c>
      <c r="C76" s="80">
        <v>2.1</v>
      </c>
      <c r="D76" s="65">
        <f>IF(C76&lt;&gt;"",C76,"")</f>
        <v>2.1</v>
      </c>
      <c r="E76" s="61" t="s">
        <v>75</v>
      </c>
      <c r="F76" s="58"/>
      <c r="G76" s="58" t="s">
        <v>76</v>
      </c>
      <c r="H76" s="62">
        <f>IF(AND(D76&lt;&gt;"",H75&lt;&gt;""),H75/D76/(1-D79),"")</f>
        <v>0.10149726865736268</v>
      </c>
      <c r="I76" s="63" t="s">
        <v>77</v>
      </c>
      <c r="J76" s="9"/>
      <c r="K76" s="270"/>
      <c r="L76" s="270"/>
      <c r="M76" s="270"/>
      <c r="N76" s="270"/>
      <c r="O76" s="270"/>
      <c r="P76" s="270"/>
      <c r="Q76" s="270"/>
      <c r="R76" s="270"/>
      <c r="S76" s="270"/>
      <c r="T76" s="270"/>
      <c r="U76" s="270"/>
      <c r="V76" s="270"/>
      <c r="W76" s="270"/>
      <c r="AA76" s="11"/>
      <c r="AB76" s="11"/>
      <c r="AC76" s="11"/>
    </row>
    <row r="77" spans="1:29">
      <c r="A77" s="9"/>
      <c r="B77" s="57" t="s">
        <v>78</v>
      </c>
      <c r="C77" s="80">
        <v>2.1</v>
      </c>
      <c r="D77" s="65">
        <f>IF(C77&lt;&gt;"",C77,"")</f>
        <v>2.1</v>
      </c>
      <c r="E77" s="61" t="s">
        <v>75</v>
      </c>
      <c r="F77" s="58"/>
      <c r="G77" s="58" t="s">
        <v>79</v>
      </c>
      <c r="H77" s="65">
        <f>IF(H76&lt;&gt;"",(0.75*H76/PI())^(1/3),"")</f>
        <v>0.28937116228420268</v>
      </c>
      <c r="I77" s="63" t="s">
        <v>60</v>
      </c>
      <c r="J77" s="9"/>
      <c r="K77" s="270"/>
      <c r="L77" s="270"/>
      <c r="M77" s="270"/>
      <c r="N77" s="270"/>
      <c r="O77" s="270"/>
      <c r="P77" s="270"/>
      <c r="Q77" s="270"/>
      <c r="R77" s="270"/>
      <c r="S77" s="270"/>
      <c r="T77" s="270"/>
      <c r="U77" s="270"/>
      <c r="V77" s="270"/>
      <c r="W77" s="270"/>
      <c r="AA77" s="11"/>
      <c r="AB77" s="11"/>
      <c r="AC77" s="11"/>
    </row>
    <row r="78" spans="1:29">
      <c r="A78" s="9"/>
      <c r="B78" s="57"/>
      <c r="C78" s="58"/>
      <c r="D78" s="64"/>
      <c r="E78" s="61"/>
      <c r="F78" s="58"/>
      <c r="G78" s="58"/>
      <c r="H78" s="58"/>
      <c r="I78" s="63"/>
      <c r="J78" s="9"/>
      <c r="K78" s="270"/>
      <c r="L78" s="270"/>
      <c r="M78" s="270"/>
      <c r="N78" s="270"/>
      <c r="O78" s="270"/>
      <c r="P78" s="270"/>
      <c r="Q78" s="270"/>
      <c r="R78" s="270"/>
      <c r="S78" s="270"/>
      <c r="T78" s="270"/>
      <c r="U78" s="270"/>
      <c r="V78" s="270"/>
      <c r="W78" s="270"/>
      <c r="AA78" s="11"/>
      <c r="AB78" s="11"/>
      <c r="AC78" s="11"/>
    </row>
    <row r="79" spans="1:29">
      <c r="A79" s="9"/>
      <c r="B79" s="57" t="s">
        <v>80</v>
      </c>
      <c r="C79" s="80"/>
      <c r="D79" s="66">
        <f>IF(C79&lt;&gt;"",C79,0.03)</f>
        <v>0.03</v>
      </c>
      <c r="E79" s="61"/>
      <c r="F79" s="58"/>
      <c r="G79" s="58" t="s">
        <v>81</v>
      </c>
      <c r="H79" s="60">
        <f>IF(D73&lt;&gt;"",D73*(D75/(D75+1)),"")</f>
        <v>0</v>
      </c>
      <c r="I79" s="63" t="s">
        <v>7</v>
      </c>
      <c r="J79" s="9"/>
      <c r="K79" s="270"/>
      <c r="L79" s="270"/>
      <c r="M79" s="270"/>
      <c r="N79" s="270"/>
      <c r="O79" s="270"/>
      <c r="P79" s="270"/>
      <c r="Q79" s="270"/>
      <c r="R79" s="270"/>
      <c r="S79" s="270"/>
      <c r="T79" s="270"/>
      <c r="U79" s="270"/>
      <c r="V79" s="270"/>
      <c r="W79" s="270"/>
      <c r="AA79" s="11"/>
      <c r="AB79" s="11"/>
      <c r="AC79" s="11"/>
    </row>
    <row r="80" spans="1:29">
      <c r="A80" s="9"/>
      <c r="B80" s="57"/>
      <c r="C80" s="67"/>
      <c r="D80" s="58"/>
      <c r="E80" s="64"/>
      <c r="F80" s="58"/>
      <c r="G80" s="58" t="s">
        <v>82</v>
      </c>
      <c r="H80" s="62">
        <f>IF(AND(D77&lt;&gt;"",H79&lt;&gt;""),H79/D77/(1-D79),"")</f>
        <v>0</v>
      </c>
      <c r="I80" s="63" t="s">
        <v>77</v>
      </c>
      <c r="J80" s="9"/>
      <c r="K80" s="270"/>
      <c r="L80" s="270"/>
      <c r="M80" s="270"/>
      <c r="N80" s="270"/>
      <c r="O80" s="270"/>
      <c r="P80" s="270"/>
      <c r="Q80" s="270"/>
      <c r="R80" s="270"/>
      <c r="S80" s="270"/>
      <c r="T80" s="270"/>
      <c r="U80" s="270"/>
      <c r="V80" s="270"/>
      <c r="W80" s="270"/>
      <c r="AA80" s="11"/>
      <c r="AB80" s="11"/>
      <c r="AC80" s="11"/>
    </row>
    <row r="81" spans="1:29">
      <c r="A81" s="9"/>
      <c r="B81" s="57"/>
      <c r="C81" s="58"/>
      <c r="D81" s="58"/>
      <c r="E81" s="64"/>
      <c r="F81" s="58"/>
      <c r="G81" s="58" t="s">
        <v>83</v>
      </c>
      <c r="H81" s="65">
        <f>IF(H80&lt;&gt;"",(0.75*H80/PI())^(1/3),"")</f>
        <v>0</v>
      </c>
      <c r="I81" s="63" t="s">
        <v>60</v>
      </c>
      <c r="J81" s="9"/>
      <c r="K81" s="270"/>
      <c r="L81" s="270"/>
      <c r="M81" s="270"/>
      <c r="N81" s="270"/>
      <c r="O81" s="270"/>
      <c r="P81" s="270"/>
      <c r="Q81" s="270"/>
      <c r="R81" s="270"/>
      <c r="S81" s="270"/>
      <c r="T81" s="270"/>
      <c r="U81" s="270"/>
      <c r="V81" s="270"/>
      <c r="W81" s="270"/>
      <c r="AA81" s="11"/>
      <c r="AB81" s="11"/>
      <c r="AC81" s="11"/>
    </row>
    <row r="82" spans="1:29">
      <c r="A82" s="9"/>
      <c r="B82" s="57"/>
      <c r="C82" s="58"/>
      <c r="D82" s="58"/>
      <c r="E82" s="64"/>
      <c r="F82" s="58"/>
      <c r="G82" s="58"/>
      <c r="H82" s="64"/>
      <c r="I82" s="63"/>
      <c r="J82" s="9"/>
      <c r="K82" s="270"/>
      <c r="L82" s="270"/>
      <c r="M82" s="270"/>
      <c r="N82" s="270"/>
      <c r="O82" s="270"/>
      <c r="P82" s="270"/>
      <c r="Q82" s="270"/>
      <c r="R82" s="270"/>
      <c r="S82" s="270"/>
      <c r="T82" s="270"/>
      <c r="U82" s="270"/>
      <c r="V82" s="270"/>
      <c r="W82" s="270"/>
      <c r="AA82" s="11"/>
      <c r="AB82" s="11"/>
      <c r="AC82" s="11"/>
    </row>
    <row r="83" spans="1:29">
      <c r="A83" s="9"/>
      <c r="B83" s="57"/>
      <c r="C83" s="58"/>
      <c r="D83" s="58"/>
      <c r="E83" s="64"/>
      <c r="F83" s="58"/>
      <c r="G83" s="58" t="s">
        <v>84</v>
      </c>
      <c r="H83" s="62">
        <f>IF(AND(D76&lt;&gt;"",D77&lt;&gt;""),(D77*D75+D76)/(D75+1),"")</f>
        <v>2.1</v>
      </c>
      <c r="I83" s="63" t="s">
        <v>75</v>
      </c>
      <c r="J83" s="9"/>
      <c r="U83" s="11"/>
      <c r="V83" s="11"/>
      <c r="W83" s="11"/>
      <c r="X83" s="11"/>
      <c r="Y83" s="11"/>
      <c r="Z83" s="11"/>
      <c r="AA83" s="11"/>
      <c r="AB83" s="11"/>
      <c r="AC83" s="11"/>
    </row>
    <row r="84" spans="1:29">
      <c r="A84" s="9"/>
      <c r="B84" s="57"/>
      <c r="C84" s="58"/>
      <c r="D84" s="58"/>
      <c r="E84" s="64"/>
      <c r="F84" s="58"/>
      <c r="G84" s="58" t="s">
        <v>85</v>
      </c>
      <c r="H84" s="62">
        <f>IF(AND(D73&lt;&gt;"",H83&lt;&gt;""),D73/H83/(1-D79),"")</f>
        <v>0.10149726865736268</v>
      </c>
      <c r="I84" s="63" t="s">
        <v>77</v>
      </c>
      <c r="J84" s="9"/>
      <c r="U84" s="11"/>
      <c r="V84" s="11"/>
      <c r="W84" s="11"/>
      <c r="X84" s="11"/>
      <c r="Y84" s="11"/>
      <c r="Z84" s="11"/>
      <c r="AA84" s="11"/>
      <c r="AB84" s="11"/>
      <c r="AC84" s="11"/>
    </row>
    <row r="85" spans="1:29">
      <c r="A85" s="9"/>
      <c r="B85" s="57"/>
      <c r="C85" s="58"/>
      <c r="D85" s="58"/>
      <c r="E85" s="64"/>
      <c r="F85" s="58"/>
      <c r="G85" s="58"/>
      <c r="H85" s="62"/>
      <c r="I85" s="63"/>
      <c r="J85" s="9"/>
      <c r="U85" s="11"/>
      <c r="V85" s="11"/>
      <c r="W85" s="11"/>
      <c r="X85" s="11"/>
      <c r="Y85" s="11"/>
      <c r="Z85" s="11"/>
      <c r="AA85" s="11"/>
      <c r="AB85" s="11"/>
      <c r="AC85" s="11"/>
    </row>
    <row r="86" spans="1:29" ht="13.5" thickBot="1">
      <c r="A86" s="9"/>
      <c r="B86" s="68"/>
      <c r="C86" s="69"/>
      <c r="D86" s="69"/>
      <c r="E86" s="69"/>
      <c r="F86" s="69"/>
      <c r="G86" s="69"/>
      <c r="H86" s="69"/>
      <c r="I86" s="70"/>
      <c r="J86" s="9"/>
      <c r="U86" s="11"/>
      <c r="V86" s="11"/>
      <c r="W86" s="11"/>
      <c r="X86" s="11"/>
      <c r="Y86" s="11"/>
      <c r="Z86" s="11"/>
      <c r="AA86" s="11"/>
      <c r="AB86" s="11"/>
      <c r="AC86" s="11"/>
    </row>
    <row r="87" spans="1:29" ht="13.5" thickTop="1">
      <c r="A87" s="9"/>
      <c r="B87" s="9"/>
      <c r="C87" s="9"/>
      <c r="D87" s="9"/>
      <c r="E87" s="9"/>
      <c r="F87" s="9"/>
      <c r="G87" s="9"/>
      <c r="H87" s="9"/>
      <c r="I87" s="9"/>
      <c r="J87" s="9"/>
      <c r="U87" s="11"/>
      <c r="V87" s="11"/>
      <c r="W87" s="11"/>
      <c r="X87" s="11"/>
      <c r="Y87" s="11"/>
      <c r="Z87" s="11"/>
      <c r="AA87" s="11"/>
      <c r="AB87" s="11"/>
      <c r="AC87" s="11"/>
    </row>
    <row r="88" spans="1:29">
      <c r="A88" s="9"/>
      <c r="B88" s="9"/>
      <c r="C88" s="9"/>
      <c r="D88" s="9"/>
      <c r="E88" s="12"/>
      <c r="F88" s="9"/>
      <c r="G88" s="9"/>
      <c r="H88" s="9"/>
      <c r="I88" s="13"/>
      <c r="J88" s="9"/>
      <c r="U88" s="11"/>
      <c r="V88" s="11"/>
      <c r="W88" s="11"/>
      <c r="X88" s="11"/>
      <c r="Y88" s="11"/>
      <c r="Z88" s="11"/>
      <c r="AA88" s="11"/>
      <c r="AB88" s="11"/>
      <c r="AC88" s="11"/>
    </row>
    <row r="89" spans="1:29">
      <c r="U89" s="11"/>
      <c r="V89" s="11"/>
      <c r="W89" s="11"/>
      <c r="X89" s="11"/>
      <c r="Y89" s="11"/>
      <c r="Z89" s="11"/>
      <c r="AA89" s="11"/>
      <c r="AB89" s="11"/>
      <c r="AC89" s="11"/>
    </row>
    <row r="90" spans="1:29">
      <c r="U90" s="11"/>
      <c r="V90" s="11"/>
      <c r="W90" s="11"/>
      <c r="X90" s="11"/>
      <c r="Y90" s="11"/>
      <c r="Z90" s="11"/>
      <c r="AA90" s="11"/>
      <c r="AB90" s="11"/>
      <c r="AC90" s="11"/>
    </row>
    <row r="91" spans="1:29">
      <c r="U91" s="11"/>
      <c r="V91" s="11"/>
      <c r="W91" s="11"/>
      <c r="X91" s="11"/>
      <c r="Y91" s="11"/>
      <c r="Z91" s="11"/>
      <c r="AA91" s="11"/>
      <c r="AB91" s="11"/>
      <c r="AC91" s="11"/>
    </row>
    <row r="92" spans="1:29">
      <c r="U92" s="11"/>
      <c r="V92" s="11"/>
      <c r="W92" s="11"/>
      <c r="X92" s="11"/>
      <c r="Y92" s="11"/>
      <c r="Z92" s="11"/>
      <c r="AA92" s="11"/>
      <c r="AB92" s="11"/>
      <c r="AC92" s="11"/>
    </row>
    <row r="93" spans="1:29">
      <c r="U93" s="11"/>
      <c r="V93" s="11"/>
      <c r="W93" s="11"/>
      <c r="X93" s="11"/>
      <c r="Y93" s="11"/>
      <c r="Z93" s="11"/>
      <c r="AA93" s="11"/>
      <c r="AB93" s="11"/>
      <c r="AC93" s="11"/>
    </row>
    <row r="94" spans="1:29">
      <c r="U94" s="11"/>
      <c r="V94" s="11"/>
      <c r="W94" s="11"/>
      <c r="X94" s="11"/>
      <c r="Y94" s="11"/>
      <c r="Z94" s="11"/>
      <c r="AA94" s="11"/>
      <c r="AB94" s="11"/>
      <c r="AC94" s="11"/>
    </row>
    <row r="95" spans="1:29">
      <c r="U95" s="11"/>
      <c r="V95" s="11"/>
      <c r="W95" s="11"/>
      <c r="X95" s="11"/>
      <c r="Y95" s="11"/>
      <c r="Z95" s="11"/>
      <c r="AA95" s="11"/>
      <c r="AB95" s="11"/>
      <c r="AC95" s="11"/>
    </row>
    <row r="96" spans="1:29">
      <c r="U96" s="11"/>
      <c r="V96" s="11"/>
      <c r="W96" s="11"/>
      <c r="X96" s="11"/>
      <c r="Y96" s="11"/>
      <c r="Z96" s="11"/>
      <c r="AA96" s="11"/>
      <c r="AB96" s="11"/>
      <c r="AC96" s="11"/>
    </row>
    <row r="97" spans="21:29">
      <c r="U97" s="11"/>
      <c r="V97" s="11"/>
      <c r="W97" s="11"/>
      <c r="X97" s="11"/>
      <c r="Y97" s="11"/>
      <c r="Z97" s="11"/>
      <c r="AA97" s="11"/>
      <c r="AB97" s="11"/>
      <c r="AC97" s="11"/>
    </row>
    <row r="98" spans="21:29">
      <c r="U98" s="11"/>
      <c r="V98" s="11"/>
      <c r="W98" s="11"/>
      <c r="X98" s="11"/>
      <c r="Y98" s="11"/>
      <c r="Z98" s="11"/>
      <c r="AA98" s="11"/>
      <c r="AB98" s="11"/>
      <c r="AC98" s="11"/>
    </row>
    <row r="99" spans="21:29">
      <c r="U99" s="11"/>
      <c r="V99" s="11"/>
      <c r="W99" s="11"/>
      <c r="X99" s="11"/>
      <c r="Y99" s="11"/>
      <c r="Z99" s="11"/>
      <c r="AA99" s="11"/>
      <c r="AB99" s="11"/>
      <c r="AC99" s="11"/>
    </row>
    <row r="100" spans="21:29">
      <c r="U100" s="11"/>
      <c r="V100" s="11"/>
      <c r="W100" s="11"/>
      <c r="X100" s="11"/>
      <c r="Y100" s="11"/>
      <c r="Z100" s="11"/>
      <c r="AA100" s="11"/>
      <c r="AB100" s="11"/>
      <c r="AC100" s="11"/>
    </row>
    <row r="101" spans="21:29">
      <c r="U101" s="11"/>
      <c r="V101" s="11"/>
      <c r="W101" s="11"/>
      <c r="X101" s="11"/>
      <c r="Y101" s="11"/>
      <c r="Z101" s="11"/>
      <c r="AA101" s="11"/>
      <c r="AB101" s="11"/>
      <c r="AC101" s="11"/>
    </row>
    <row r="102" spans="21:29">
      <c r="U102" s="11"/>
      <c r="V102" s="11"/>
      <c r="W102" s="11"/>
      <c r="X102" s="11"/>
      <c r="Y102" s="11"/>
      <c r="Z102" s="11"/>
      <c r="AA102" s="11"/>
      <c r="AB102" s="11"/>
      <c r="AC102" s="11"/>
    </row>
    <row r="103" spans="21:29">
      <c r="U103" s="11"/>
      <c r="V103" s="11"/>
      <c r="W103" s="11"/>
      <c r="X103" s="11"/>
      <c r="Y103" s="11"/>
      <c r="Z103" s="11"/>
      <c r="AA103" s="11"/>
      <c r="AB103" s="11"/>
      <c r="AC103" s="11"/>
    </row>
    <row r="104" spans="21:29">
      <c r="U104" s="11"/>
      <c r="V104" s="11"/>
      <c r="W104" s="11"/>
      <c r="X104" s="11"/>
      <c r="Y104" s="11"/>
      <c r="Z104" s="11"/>
      <c r="AA104" s="11"/>
      <c r="AB104" s="11"/>
      <c r="AC104" s="11"/>
    </row>
    <row r="105" spans="21:29">
      <c r="U105" s="11"/>
      <c r="V105" s="11"/>
      <c r="W105" s="11"/>
      <c r="X105" s="11"/>
      <c r="Y105" s="11"/>
      <c r="Z105" s="11"/>
      <c r="AA105" s="11"/>
      <c r="AB105" s="11"/>
      <c r="AC105" s="11"/>
    </row>
    <row r="106" spans="21:29">
      <c r="U106" s="11"/>
      <c r="V106" s="11"/>
      <c r="W106" s="11"/>
      <c r="X106" s="11"/>
      <c r="Y106" s="11"/>
      <c r="Z106" s="11"/>
      <c r="AA106" s="11"/>
      <c r="AB106" s="11"/>
      <c r="AC106" s="11"/>
    </row>
    <row r="107" spans="21:29">
      <c r="U107" s="11"/>
      <c r="V107" s="11"/>
      <c r="W107" s="11"/>
      <c r="X107" s="11"/>
      <c r="Y107" s="11"/>
      <c r="Z107" s="11"/>
      <c r="AA107" s="11"/>
      <c r="AB107" s="11"/>
      <c r="AC107" s="11"/>
    </row>
    <row r="108" spans="21:29">
      <c r="U108" s="11"/>
      <c r="V108" s="11"/>
      <c r="W108" s="11"/>
      <c r="X108" s="11"/>
      <c r="Y108" s="11"/>
      <c r="Z108" s="11"/>
      <c r="AA108" s="11"/>
      <c r="AB108" s="11"/>
      <c r="AC108" s="11"/>
    </row>
    <row r="109" spans="21:29">
      <c r="U109" s="11"/>
      <c r="V109" s="11"/>
      <c r="W109" s="11"/>
      <c r="X109" s="11"/>
      <c r="Y109" s="11"/>
      <c r="Z109" s="11"/>
      <c r="AA109" s="11"/>
      <c r="AB109" s="11"/>
      <c r="AC109" s="11"/>
    </row>
    <row r="110" spans="21:29">
      <c r="U110" s="11"/>
      <c r="V110" s="11"/>
      <c r="W110" s="11"/>
      <c r="X110" s="11"/>
      <c r="Y110" s="11"/>
      <c r="Z110" s="11"/>
      <c r="AA110" s="11"/>
      <c r="AB110" s="11"/>
      <c r="AC110" s="11"/>
    </row>
    <row r="111" spans="21:29">
      <c r="U111" s="11"/>
      <c r="V111" s="11"/>
      <c r="W111" s="11"/>
      <c r="X111" s="11"/>
      <c r="Y111" s="11"/>
      <c r="Z111" s="11"/>
      <c r="AA111" s="11"/>
      <c r="AB111" s="11"/>
      <c r="AC111" s="11"/>
    </row>
    <row r="112" spans="21:29">
      <c r="U112" s="11"/>
      <c r="V112" s="11"/>
      <c r="W112" s="11"/>
      <c r="X112" s="11"/>
      <c r="Y112" s="11"/>
      <c r="Z112" s="11"/>
      <c r="AA112" s="11"/>
      <c r="AB112" s="11"/>
      <c r="AC112" s="11"/>
    </row>
    <row r="113" spans="21:29">
      <c r="U113" s="11"/>
      <c r="V113" s="11"/>
      <c r="W113" s="11"/>
      <c r="X113" s="11"/>
      <c r="Y113" s="11"/>
      <c r="Z113" s="11"/>
      <c r="AA113" s="11"/>
      <c r="AB113" s="11"/>
      <c r="AC113" s="11"/>
    </row>
    <row r="114" spans="21:29">
      <c r="U114" s="11"/>
      <c r="V114" s="11"/>
      <c r="W114" s="11"/>
      <c r="X114" s="11"/>
      <c r="Y114" s="11"/>
      <c r="Z114" s="11"/>
      <c r="AA114" s="11"/>
      <c r="AB114" s="11"/>
      <c r="AC114" s="11"/>
    </row>
    <row r="115" spans="21:29">
      <c r="U115" s="11"/>
      <c r="V115" s="11"/>
      <c r="W115" s="11"/>
      <c r="X115" s="11"/>
      <c r="Y115" s="11"/>
      <c r="Z115" s="11"/>
      <c r="AA115" s="11"/>
      <c r="AB115" s="11"/>
      <c r="AC115" s="11"/>
    </row>
  </sheetData>
  <mergeCells count="14">
    <mergeCell ref="B69:I69"/>
    <mergeCell ref="B2:J2"/>
    <mergeCell ref="B5:I5"/>
    <mergeCell ref="B34:I34"/>
    <mergeCell ref="B67:I67"/>
    <mergeCell ref="B7:I7"/>
    <mergeCell ref="B15:I15"/>
    <mergeCell ref="B28:I28"/>
    <mergeCell ref="B36:I36"/>
    <mergeCell ref="K43:W43"/>
    <mergeCell ref="K62:W62"/>
    <mergeCell ref="K3:W3"/>
    <mergeCell ref="K2:W2"/>
    <mergeCell ref="K24:W24"/>
  </mergeCells>
  <phoneticPr fontId="0" type="noConversion"/>
  <pageMargins left="0.75" right="0.75" top="1" bottom="1" header="0.5" footer="0.5"/>
  <pageSetup scale="85" orientation="landscape" horizontalDpi="4294967292" verticalDpi="196"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37" r:id="rId4" name="Button 65">
              <controlPr defaultSize="0" print="0" autoFill="0" autoPict="0" macro="[0]!Mach_Exit">
                <anchor moveWithCells="1" sizeWithCells="1">
                  <from>
                    <xdr:col>1</xdr:col>
                    <xdr:colOff>1838325</xdr:colOff>
                    <xdr:row>46</xdr:row>
                    <xdr:rowOff>0</xdr:rowOff>
                  </from>
                  <to>
                    <xdr:col>2</xdr:col>
                    <xdr:colOff>0</xdr:colOff>
                    <xdr:row>47</xdr:row>
                    <xdr:rowOff>0</xdr:rowOff>
                  </to>
                </anchor>
              </controlPr>
            </control>
          </mc:Choice>
        </mc:AlternateContent>
        <mc:AlternateContent xmlns:mc="http://schemas.openxmlformats.org/markup-compatibility/2006">
          <mc:Choice Requires="x14">
            <control shapeId="8" r:id="rId5" name="Button 92">
              <controlPr defaultSize="0" print="0" autoFill="0" autoPict="0" macro="[0]!SpecificImpulseTrade">
                <anchor moveWithCells="1" sizeWithCells="1">
                  <from>
                    <xdr:col>17</xdr:col>
                    <xdr:colOff>866775</xdr:colOff>
                    <xdr:row>2</xdr:row>
                    <xdr:rowOff>28575</xdr:rowOff>
                  </from>
                  <to>
                    <xdr:col>19</xdr:col>
                    <xdr:colOff>600075</xdr:colOff>
                    <xdr:row>2</xdr:row>
                    <xdr:rowOff>247650</xdr:rowOff>
                  </to>
                </anchor>
              </controlPr>
            </control>
          </mc:Choice>
        </mc:AlternateContent>
        <mc:AlternateContent xmlns:mc="http://schemas.openxmlformats.org/markup-compatibility/2006">
          <mc:Choice Requires="x14">
            <control shapeId="9" r:id="rId6" name="Button 93">
              <controlPr defaultSize="0" print="0" autoFill="0" autoPict="0" macro="[0]!ThrustWeightTrade">
                <anchor moveWithCells="1" sizeWithCells="1">
                  <from>
                    <xdr:col>18</xdr:col>
                    <xdr:colOff>9525</xdr:colOff>
                    <xdr:row>23</xdr:row>
                    <xdr:rowOff>28575</xdr:rowOff>
                  </from>
                  <to>
                    <xdr:col>19</xdr:col>
                    <xdr:colOff>914400</xdr:colOff>
                    <xdr:row>23</xdr:row>
                    <xdr:rowOff>238125</xdr:rowOff>
                  </to>
                </anchor>
              </controlPr>
            </control>
          </mc:Choice>
        </mc:AlternateContent>
        <mc:AlternateContent xmlns:mc="http://schemas.openxmlformats.org/markup-compatibility/2006">
          <mc:Choice Requires="x14">
            <control shapeId="10" r:id="rId7" name="Button 94">
              <controlPr defaultSize="0" print="0" autoFill="0" autoPict="0" macro="[0]!MassTrade">
                <anchor moveWithCells="1" sizeWithCells="1">
                  <from>
                    <xdr:col>18</xdr:col>
                    <xdr:colOff>19050</xdr:colOff>
                    <xdr:row>42</xdr:row>
                    <xdr:rowOff>19050</xdr:rowOff>
                  </from>
                  <to>
                    <xdr:col>19</xdr:col>
                    <xdr:colOff>923925</xdr:colOff>
                    <xdr:row>42</xdr:row>
                    <xdr:rowOff>238125</xdr:rowOff>
                  </to>
                </anchor>
              </controlPr>
            </control>
          </mc:Choice>
        </mc:AlternateContent>
        <mc:AlternateContent xmlns:mc="http://schemas.openxmlformats.org/markup-compatibility/2006">
          <mc:Choice Requires="x14">
            <control shapeId="11" r:id="rId8" name="Button 95">
              <controlPr defaultSize="0" print="0" autoFill="0" autoPict="0" macro="[0]!DeltaVTrade">
                <anchor moveWithCells="1" sizeWithCells="1">
                  <from>
                    <xdr:col>17</xdr:col>
                    <xdr:colOff>638175</xdr:colOff>
                    <xdr:row>61</xdr:row>
                    <xdr:rowOff>28575</xdr:rowOff>
                  </from>
                  <to>
                    <xdr:col>19</xdr:col>
                    <xdr:colOff>361950</xdr:colOff>
                    <xdr:row>61</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Constants!$K$30:$K$39</xm:f>
          </x14:formula1>
          <xm:sqref>H8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tabColor theme="3" tint="0.39997558519241921"/>
    <pageSetUpPr fitToPage="1"/>
  </sheetPr>
  <dimension ref="A1:Z61"/>
  <sheetViews>
    <sheetView topLeftCell="A25" zoomScale="70" zoomScaleNormal="70" workbookViewId="0">
      <selection activeCell="J4" sqref="J4"/>
    </sheetView>
  </sheetViews>
  <sheetFormatPr defaultColWidth="9.33203125" defaultRowHeight="12.75"/>
  <cols>
    <col min="1" max="1" width="9.33203125" style="2"/>
    <col min="2" max="2" width="45.83203125" style="2" customWidth="1"/>
    <col min="3" max="3" width="17.1640625" style="2" bestFit="1" customWidth="1"/>
    <col min="4" max="4" width="14.33203125" style="3" bestFit="1" customWidth="1"/>
    <col min="5" max="5" width="7.6640625" style="4" customWidth="1"/>
    <col min="6" max="6" width="5.83203125" style="2" customWidth="1"/>
    <col min="7" max="7" width="40.83203125" style="2" customWidth="1"/>
    <col min="8" max="8" width="12.5" style="3" bestFit="1" customWidth="1"/>
    <col min="9" max="9" width="10.83203125" style="4" customWidth="1"/>
    <col min="10" max="11" width="10.83203125" style="2" customWidth="1"/>
    <col min="12" max="12" width="10" style="2" customWidth="1"/>
    <col min="13" max="13" width="10.33203125" style="2" customWidth="1"/>
    <col min="14" max="14" width="5.6640625" style="2" bestFit="1" customWidth="1"/>
    <col min="15" max="15" width="9" style="2" customWidth="1"/>
    <col min="16" max="16" width="11.83203125" style="2" customWidth="1"/>
    <col min="17" max="17" width="14.1640625" style="2" customWidth="1"/>
    <col min="18" max="18" width="13.83203125" style="2" customWidth="1"/>
    <col min="19" max="19" width="10.33203125" style="2" customWidth="1"/>
    <col min="20" max="20" width="16.83203125" style="2" customWidth="1"/>
    <col min="21" max="21" width="10" style="2" customWidth="1"/>
    <col min="22" max="22" width="10.6640625" style="2" customWidth="1"/>
    <col min="23" max="24" width="13.83203125" style="2" customWidth="1"/>
    <col min="25" max="25" width="12.6640625" style="2" customWidth="1"/>
    <col min="26" max="16384" width="9.33203125" style="2"/>
  </cols>
  <sheetData>
    <row r="1" spans="1:26" ht="39.75" customHeight="1">
      <c r="A1" s="9"/>
      <c r="B1" s="5"/>
      <c r="C1" s="6"/>
      <c r="D1" s="7"/>
      <c r="E1" s="7"/>
      <c r="F1" s="6"/>
      <c r="G1" s="6"/>
      <c r="H1" s="10"/>
      <c r="I1" s="10"/>
      <c r="J1" s="9"/>
      <c r="K1" s="265"/>
      <c r="L1" s="265"/>
      <c r="M1" s="265"/>
      <c r="N1" s="265"/>
      <c r="O1" s="265"/>
      <c r="P1" s="265"/>
      <c r="Q1" s="265"/>
      <c r="R1" s="265"/>
      <c r="S1" s="265"/>
      <c r="T1" s="265"/>
      <c r="U1" s="265"/>
      <c r="V1" s="265"/>
      <c r="W1" s="265"/>
      <c r="X1" s="265"/>
      <c r="Y1" s="265"/>
      <c r="Z1" s="265"/>
    </row>
    <row r="2" spans="1:26" ht="15.75" thickBot="1">
      <c r="A2" s="9"/>
      <c r="B2" s="372" t="s">
        <v>200</v>
      </c>
      <c r="C2" s="373"/>
      <c r="D2" s="373"/>
      <c r="E2" s="373"/>
      <c r="F2" s="373"/>
      <c r="G2" s="373"/>
      <c r="H2" s="373"/>
      <c r="I2" s="373"/>
      <c r="J2" s="373"/>
      <c r="K2" s="265"/>
      <c r="L2" s="265"/>
      <c r="M2" s="265"/>
      <c r="N2" s="265"/>
      <c r="O2" s="265"/>
      <c r="P2" s="265"/>
      <c r="Q2" s="265"/>
      <c r="R2" s="265"/>
      <c r="S2" s="265"/>
      <c r="T2" s="265"/>
      <c r="U2" s="265"/>
      <c r="V2" s="265"/>
      <c r="W2" s="265"/>
      <c r="X2" s="265"/>
      <c r="Y2" s="265"/>
      <c r="Z2" s="265"/>
    </row>
    <row r="3" spans="1:26" ht="21.75" thickTop="1" thickBot="1">
      <c r="A3" s="9"/>
      <c r="B3" s="73" t="s">
        <v>212</v>
      </c>
      <c r="C3" s="12" t="s">
        <v>213</v>
      </c>
      <c r="D3" s="9"/>
      <c r="E3" s="9"/>
      <c r="F3" s="9"/>
      <c r="G3" s="9"/>
      <c r="H3" s="9"/>
      <c r="I3" s="9"/>
      <c r="J3" s="9"/>
      <c r="K3" s="367" t="s">
        <v>348</v>
      </c>
      <c r="L3" s="368"/>
      <c r="M3" s="368"/>
      <c r="N3" s="368"/>
      <c r="O3" s="368"/>
      <c r="P3" s="368"/>
      <c r="Q3" s="368"/>
      <c r="R3" s="368"/>
      <c r="S3" s="368"/>
      <c r="T3" s="368"/>
      <c r="U3" s="368"/>
      <c r="V3" s="368"/>
      <c r="W3" s="368"/>
      <c r="X3" s="265"/>
      <c r="Y3" s="265"/>
      <c r="Z3" s="265"/>
    </row>
    <row r="4" spans="1:26" ht="18" customHeight="1" thickTop="1" thickBot="1">
      <c r="A4" s="9"/>
      <c r="B4" s="34"/>
      <c r="C4" s="35"/>
      <c r="D4" s="35"/>
      <c r="E4" s="35"/>
      <c r="F4" s="35"/>
      <c r="G4" s="35"/>
      <c r="H4" s="35"/>
      <c r="I4" s="35"/>
      <c r="J4" s="35"/>
      <c r="K4" s="367" t="s">
        <v>1</v>
      </c>
      <c r="L4" s="368"/>
      <c r="M4" s="368"/>
      <c r="N4" s="368"/>
      <c r="O4" s="368"/>
      <c r="P4" s="368"/>
      <c r="Q4" s="368"/>
      <c r="R4" s="368"/>
      <c r="S4" s="368"/>
      <c r="T4" s="368"/>
      <c r="U4" s="368"/>
      <c r="V4" s="368"/>
      <c r="W4" s="368"/>
      <c r="X4" s="265"/>
      <c r="Y4" s="265"/>
      <c r="Z4" s="265"/>
    </row>
    <row r="5" spans="1:26" ht="12.75" customHeight="1" thickTop="1">
      <c r="A5" s="9"/>
      <c r="B5" s="374" t="s">
        <v>186</v>
      </c>
      <c r="C5" s="395"/>
      <c r="D5" s="395"/>
      <c r="E5" s="395"/>
      <c r="F5" s="395"/>
      <c r="G5" s="395"/>
      <c r="H5" s="395"/>
      <c r="I5" s="396"/>
      <c r="J5" s="35"/>
      <c r="K5" s="265"/>
      <c r="L5" s="265"/>
      <c r="M5" s="265"/>
      <c r="N5" s="265"/>
      <c r="O5" s="265"/>
      <c r="P5" s="265"/>
      <c r="Q5" s="265"/>
      <c r="R5" s="265"/>
      <c r="S5" s="265"/>
      <c r="T5" s="265"/>
      <c r="U5" s="265"/>
      <c r="V5" s="265"/>
      <c r="W5" s="265"/>
      <c r="X5" s="265"/>
      <c r="Y5" s="265"/>
      <c r="Z5" s="265"/>
    </row>
    <row r="6" spans="1:26">
      <c r="A6" s="9"/>
      <c r="B6" s="17"/>
      <c r="C6" s="15"/>
      <c r="D6" s="15"/>
      <c r="E6" s="18"/>
      <c r="F6" s="15"/>
      <c r="G6" s="15"/>
      <c r="H6" s="15"/>
      <c r="I6" s="19"/>
      <c r="J6" s="9"/>
      <c r="K6" s="265"/>
      <c r="L6" s="265"/>
      <c r="M6" s="265"/>
      <c r="N6" s="265"/>
      <c r="O6" s="265"/>
      <c r="P6" s="265"/>
      <c r="Q6" s="265"/>
      <c r="R6" s="265"/>
      <c r="S6" s="265"/>
      <c r="T6" s="265"/>
      <c r="U6" s="265"/>
      <c r="V6" s="265"/>
      <c r="W6" s="265"/>
      <c r="X6" s="265"/>
      <c r="Y6" s="265"/>
      <c r="Z6" s="265"/>
    </row>
    <row r="7" spans="1:26">
      <c r="A7" s="9"/>
      <c r="B7" s="386"/>
      <c r="C7" s="387"/>
      <c r="D7" s="387"/>
      <c r="E7" s="387"/>
      <c r="F7" s="387"/>
      <c r="G7" s="387"/>
      <c r="H7" s="387"/>
      <c r="I7" s="388"/>
      <c r="J7" s="9"/>
      <c r="K7" s="265"/>
      <c r="L7" s="265"/>
      <c r="M7" s="265"/>
      <c r="N7" s="265"/>
      <c r="O7" s="265"/>
      <c r="P7" s="265"/>
      <c r="Q7" s="265"/>
      <c r="R7" s="265"/>
      <c r="S7" s="265"/>
      <c r="T7" s="265"/>
      <c r="U7" s="265"/>
      <c r="V7" s="265"/>
      <c r="W7" s="265"/>
      <c r="X7" s="265"/>
      <c r="Y7" s="265"/>
      <c r="Z7" s="265"/>
    </row>
    <row r="8" spans="1:26">
      <c r="A8" s="9"/>
      <c r="B8" s="17"/>
      <c r="C8" s="15"/>
      <c r="D8" s="15"/>
      <c r="E8" s="18"/>
      <c r="F8" s="15"/>
      <c r="G8" s="15"/>
      <c r="H8" s="15"/>
      <c r="I8" s="19"/>
      <c r="J8" s="9"/>
      <c r="K8" s="265"/>
      <c r="L8" s="265"/>
      <c r="M8" s="265"/>
      <c r="N8" s="265"/>
      <c r="O8" s="265"/>
      <c r="P8" s="265"/>
      <c r="Q8" s="265"/>
      <c r="R8" s="265"/>
      <c r="S8" s="265"/>
      <c r="T8" s="265"/>
      <c r="U8" s="265"/>
      <c r="V8" s="265"/>
      <c r="W8" s="265"/>
      <c r="X8" s="265"/>
      <c r="Y8" s="265"/>
      <c r="Z8" s="265"/>
    </row>
    <row r="9" spans="1:26" ht="16.5" customHeight="1">
      <c r="A9" s="37"/>
      <c r="B9" s="17" t="s">
        <v>187</v>
      </c>
      <c r="C9" s="71">
        <v>4</v>
      </c>
      <c r="D9" s="16"/>
      <c r="E9" s="14"/>
      <c r="F9" s="15"/>
      <c r="G9" s="15" t="s">
        <v>20</v>
      </c>
      <c r="H9" s="21">
        <f>IF(AND(D11&lt;&gt;"",D17&lt;&gt;"",D13&lt;&gt;""),EXP(-D17/D11)-(1-EXP(-D17/D11))*D20*D11^2/2/D22/D13,"")</f>
        <v>0.91128044835353728</v>
      </c>
      <c r="I9" s="22">
        <f>10^15*(D17/D11^2*EXP(-D17/D11)-D11/D22/D13/D19*(1-EXP(-D17/D11))+D17/2/D22/D13/D19*EXP(-D17/D11))</f>
        <v>4389429336.2934866</v>
      </c>
      <c r="J9" s="9"/>
      <c r="K9" s="265"/>
      <c r="L9" s="265"/>
      <c r="M9" s="265"/>
      <c r="N9" s="265"/>
      <c r="O9" s="265"/>
      <c r="P9" s="265"/>
      <c r="Q9" s="265"/>
      <c r="R9" s="265"/>
      <c r="S9" s="265"/>
      <c r="T9" s="265"/>
      <c r="U9" s="265"/>
      <c r="V9" s="265"/>
      <c r="W9" s="265"/>
      <c r="X9" s="265"/>
      <c r="Y9" s="265"/>
      <c r="Z9" s="265"/>
    </row>
    <row r="10" spans="1:26">
      <c r="A10" s="37"/>
      <c r="B10" s="17" t="s">
        <v>4</v>
      </c>
      <c r="C10" s="80"/>
      <c r="D10" s="20">
        <f>IF(C10&lt;&gt;"",C10,IF(C11&lt;&gt;"",C11/(Earth_Mu/Earth_Radius^2*1000),INDEX(N35:N41,C9)))</f>
        <v>1500</v>
      </c>
      <c r="E10" s="18" t="s">
        <v>178</v>
      </c>
      <c r="F10" s="15"/>
      <c r="G10" s="15"/>
      <c r="H10" s="20"/>
      <c r="I10" s="19"/>
      <c r="J10" s="9"/>
      <c r="K10" s="265"/>
      <c r="L10" s="265"/>
      <c r="M10" s="265"/>
      <c r="N10" s="265"/>
      <c r="O10" s="265"/>
      <c r="P10" s="265"/>
      <c r="Q10" s="265"/>
      <c r="R10" s="265"/>
      <c r="S10" s="265"/>
      <c r="T10" s="265"/>
      <c r="U10" s="265"/>
      <c r="V10" s="265"/>
      <c r="W10" s="265"/>
      <c r="X10" s="265"/>
      <c r="Y10" s="265"/>
      <c r="Z10" s="265"/>
    </row>
    <row r="11" spans="1:26">
      <c r="A11" s="9"/>
      <c r="B11" s="17" t="s">
        <v>21</v>
      </c>
      <c r="C11" s="80"/>
      <c r="D11" s="20">
        <f>IF(D10&lt;&gt;"",D10*(Earth_Mu/Earth_Radius^2)*1000,"")</f>
        <v>14697.428218780949</v>
      </c>
      <c r="E11" s="18" t="s">
        <v>10</v>
      </c>
      <c r="F11" s="15"/>
      <c r="G11" s="15" t="s">
        <v>22</v>
      </c>
      <c r="H11" s="20">
        <f>IF(AND(D11&lt;&gt;"",H21&lt;&gt;""),0.5*H21*D11^2,"")</f>
        <v>0.26887970767945346</v>
      </c>
      <c r="I11" s="19" t="s">
        <v>23</v>
      </c>
      <c r="J11" s="9"/>
      <c r="K11" s="265"/>
      <c r="L11" s="265"/>
      <c r="M11" s="265"/>
      <c r="N11" s="265"/>
      <c r="O11" s="265"/>
      <c r="P11" s="265"/>
      <c r="Q11" s="265"/>
      <c r="R11" s="265"/>
      <c r="S11" s="265"/>
      <c r="T11" s="265"/>
      <c r="U11" s="265"/>
      <c r="V11" s="265"/>
      <c r="W11" s="265"/>
      <c r="X11" s="265"/>
      <c r="Y11" s="265"/>
      <c r="Z11" s="265"/>
    </row>
    <row r="12" spans="1:26">
      <c r="A12" s="9"/>
      <c r="B12" s="17"/>
      <c r="C12" s="15"/>
      <c r="D12" s="20"/>
      <c r="E12" s="18"/>
      <c r="F12" s="15"/>
      <c r="G12" s="15" t="s">
        <v>25</v>
      </c>
      <c r="H12" s="20">
        <f>IF(H11&lt;&gt;"",H11/D22,"")</f>
        <v>0.56606254248305998</v>
      </c>
      <c r="I12" s="19" t="s">
        <v>23</v>
      </c>
      <c r="J12" s="9"/>
      <c r="K12" s="265"/>
      <c r="L12" s="265"/>
      <c r="M12" s="265"/>
      <c r="N12" s="265"/>
      <c r="O12" s="265"/>
      <c r="P12" s="265"/>
      <c r="Q12" s="265"/>
      <c r="R12" s="265"/>
      <c r="S12" s="265"/>
      <c r="T12" s="265"/>
      <c r="U12" s="265"/>
      <c r="V12" s="265"/>
      <c r="W12" s="265"/>
      <c r="X12" s="265"/>
      <c r="Y12" s="265"/>
      <c r="Z12" s="265"/>
    </row>
    <row r="13" spans="1:26">
      <c r="A13" s="9"/>
      <c r="B13" s="17" t="s">
        <v>24</v>
      </c>
      <c r="C13" s="80"/>
      <c r="D13" s="23">
        <f>IF(C13&lt;&gt;"",C13,IF(C14&lt;&gt;"",C14*24*60*60,""))</f>
        <v>34560000</v>
      </c>
      <c r="E13" s="18" t="s">
        <v>178</v>
      </c>
      <c r="F13" s="15"/>
      <c r="G13" s="15" t="s">
        <v>27</v>
      </c>
      <c r="H13" s="20">
        <f>IF(H12&lt;&gt;"",H12*D23,"")</f>
        <v>0.56606254248305998</v>
      </c>
      <c r="I13" s="19" t="s">
        <v>23</v>
      </c>
      <c r="J13" s="9"/>
      <c r="K13" s="265"/>
      <c r="L13" s="265"/>
      <c r="M13" s="265"/>
      <c r="N13" s="265"/>
      <c r="O13" s="265"/>
      <c r="P13" s="265"/>
      <c r="Q13" s="265"/>
      <c r="R13" s="265"/>
      <c r="S13" s="265"/>
      <c r="T13" s="265"/>
      <c r="U13" s="265"/>
      <c r="V13" s="265"/>
      <c r="W13" s="265"/>
      <c r="X13" s="265"/>
      <c r="Y13" s="265"/>
      <c r="Z13" s="265"/>
    </row>
    <row r="14" spans="1:26">
      <c r="A14" s="9"/>
      <c r="B14" s="17" t="s">
        <v>24</v>
      </c>
      <c r="C14" s="80">
        <v>400</v>
      </c>
      <c r="D14" s="24">
        <f>IF(D13&lt;&gt;"",D13/24/60/60,"")</f>
        <v>400</v>
      </c>
      <c r="E14" s="18" t="s">
        <v>26</v>
      </c>
      <c r="F14" s="15"/>
      <c r="G14" s="15"/>
      <c r="H14" s="15"/>
      <c r="I14" s="25"/>
      <c r="J14" s="9"/>
      <c r="K14" s="265"/>
      <c r="L14" s="265"/>
      <c r="M14" s="265"/>
      <c r="N14" s="265"/>
      <c r="O14" s="265"/>
      <c r="P14" s="265"/>
      <c r="Q14" s="265"/>
      <c r="R14" s="265"/>
      <c r="S14" s="265"/>
      <c r="T14" s="265"/>
      <c r="U14" s="265"/>
      <c r="V14" s="265"/>
      <c r="W14" s="265"/>
      <c r="X14" s="265"/>
      <c r="Y14" s="265"/>
      <c r="Z14" s="265"/>
    </row>
    <row r="15" spans="1:26">
      <c r="A15" s="9"/>
      <c r="B15" s="17"/>
      <c r="C15" s="15"/>
      <c r="D15" s="15"/>
      <c r="E15" s="18"/>
      <c r="F15" s="15"/>
      <c r="G15" s="15" t="s">
        <v>8</v>
      </c>
      <c r="H15" s="20">
        <f>IF(AND(D16&lt;&gt;"",H9&lt;&gt;""),D16/H9,"")</f>
        <v>1.0973570230841201</v>
      </c>
      <c r="I15" s="19" t="s">
        <v>7</v>
      </c>
      <c r="J15" s="9"/>
      <c r="K15" s="265"/>
      <c r="L15" s="265"/>
      <c r="M15" s="265"/>
      <c r="N15" s="265"/>
      <c r="O15" s="265"/>
      <c r="P15" s="265"/>
      <c r="Q15" s="265"/>
      <c r="R15" s="265"/>
      <c r="S15" s="265"/>
      <c r="T15" s="265"/>
      <c r="U15" s="265"/>
      <c r="V15" s="265"/>
      <c r="W15" s="265"/>
      <c r="X15" s="265"/>
      <c r="Y15" s="265"/>
      <c r="Z15" s="265"/>
    </row>
    <row r="16" spans="1:26">
      <c r="A16" s="9"/>
      <c r="B16" s="17" t="s">
        <v>6</v>
      </c>
      <c r="C16" s="80">
        <v>1</v>
      </c>
      <c r="D16" s="20">
        <f>IF(C16&lt;&gt;"",C16,IF('Chemical Propulsion - Sizing'!D19&lt;&gt;"",'Chemical Propulsion - Sizing'!D19,""))</f>
        <v>1</v>
      </c>
      <c r="E16" s="18" t="s">
        <v>7</v>
      </c>
      <c r="F16" s="15"/>
      <c r="G16" s="15" t="s">
        <v>11</v>
      </c>
      <c r="H16" s="20">
        <f>IF(AND(H15&lt;&gt;"",H18&lt;&gt;""),H15-H18,"")</f>
        <v>1.0113212508496612</v>
      </c>
      <c r="I16" s="19" t="s">
        <v>7</v>
      </c>
      <c r="J16" s="9"/>
      <c r="K16" s="265"/>
      <c r="L16" s="265"/>
      <c r="M16" s="265"/>
      <c r="N16" s="265"/>
      <c r="O16" s="265"/>
      <c r="P16" s="265"/>
      <c r="Q16" s="265"/>
      <c r="R16" s="265"/>
      <c r="S16" s="265"/>
      <c r="T16" s="265"/>
      <c r="U16" s="265"/>
      <c r="V16" s="265"/>
      <c r="W16" s="265"/>
      <c r="X16" s="265"/>
      <c r="Y16" s="265"/>
      <c r="Z16" s="265"/>
    </row>
    <row r="17" spans="1:26">
      <c r="A17" s="9"/>
      <c r="B17" s="17" t="s">
        <v>9</v>
      </c>
      <c r="C17" s="80">
        <v>1200</v>
      </c>
      <c r="D17" s="20">
        <f>IF(C17&lt;&gt;"",C17,IF('Chemical Propulsion - Sizing'!D20&lt;&gt;"",'Chemical Propulsion - Sizing'!D20,""))</f>
        <v>1200</v>
      </c>
      <c r="E17" s="18" t="s">
        <v>10</v>
      </c>
      <c r="F17" s="15"/>
      <c r="G17" s="15"/>
      <c r="H17" s="20"/>
      <c r="I17" s="19"/>
      <c r="J17" s="9"/>
      <c r="K17" s="265"/>
      <c r="L17" s="265"/>
      <c r="M17" s="265"/>
      <c r="N17" s="265"/>
      <c r="O17" s="265"/>
      <c r="P17" s="265"/>
      <c r="Q17" s="265"/>
      <c r="R17" s="265"/>
      <c r="S17" s="265"/>
      <c r="T17" s="265"/>
      <c r="U17" s="265"/>
      <c r="V17" s="265"/>
      <c r="W17" s="265"/>
      <c r="X17" s="265"/>
      <c r="Y17" s="265"/>
      <c r="Z17" s="265"/>
    </row>
    <row r="18" spans="1:26">
      <c r="A18" s="9"/>
      <c r="B18" s="17"/>
      <c r="C18" s="15"/>
      <c r="D18" s="15"/>
      <c r="E18" s="18"/>
      <c r="F18" s="15"/>
      <c r="G18" s="277" t="s">
        <v>352</v>
      </c>
      <c r="H18" s="20">
        <f>IF(AND(D11&lt;&gt;"",D17&lt;&gt;"",H15&lt;&gt;""),H15*(1-EXP(-D17/D11)),"")</f>
        <v>8.6035772234458949E-2</v>
      </c>
      <c r="I18" s="19" t="s">
        <v>7</v>
      </c>
      <c r="J18" s="9"/>
      <c r="K18" s="265"/>
      <c r="L18" s="265"/>
      <c r="M18" s="265"/>
      <c r="N18" s="265"/>
      <c r="O18" s="265"/>
      <c r="P18" s="265"/>
      <c r="Q18" s="265"/>
      <c r="R18" s="265"/>
      <c r="S18" s="265"/>
      <c r="T18" s="265"/>
      <c r="U18" s="265"/>
      <c r="V18" s="265"/>
      <c r="W18" s="265"/>
      <c r="X18" s="265"/>
      <c r="Y18" s="265"/>
      <c r="Z18" s="265"/>
    </row>
    <row r="19" spans="1:26">
      <c r="A19" s="9"/>
      <c r="B19" s="17" t="s">
        <v>28</v>
      </c>
      <c r="C19" s="80"/>
      <c r="D19" s="20">
        <f>IF(C19&lt;&gt;"",C19,IF(C20&lt;&gt;"",1/C20,50))</f>
        <v>50</v>
      </c>
      <c r="E19" s="18" t="s">
        <v>29</v>
      </c>
      <c r="F19" s="15"/>
      <c r="G19" s="15" t="s">
        <v>14</v>
      </c>
      <c r="H19" s="20">
        <f>IF(AND(D11&lt;&gt;"",D13&lt;&gt;"",H18&lt;&gt;""),0.5*H18*D11^2*D20/D22/D13,"")</f>
        <v>1.13212508496612E-2</v>
      </c>
      <c r="I19" s="19" t="s">
        <v>7</v>
      </c>
      <c r="J19" s="9"/>
      <c r="K19" s="265"/>
      <c r="L19" s="265"/>
      <c r="M19" s="265"/>
      <c r="N19" s="265"/>
      <c r="O19" s="265"/>
      <c r="P19" s="265"/>
      <c r="Q19" s="265"/>
      <c r="R19" s="265"/>
      <c r="S19" s="265"/>
      <c r="T19" s="265"/>
      <c r="U19" s="265"/>
      <c r="V19" s="265"/>
      <c r="W19" s="265"/>
      <c r="X19" s="265"/>
      <c r="Y19" s="265"/>
      <c r="Z19" s="265"/>
    </row>
    <row r="20" spans="1:26">
      <c r="A20" s="9"/>
      <c r="B20" s="17" t="s">
        <v>30</v>
      </c>
      <c r="C20" s="80"/>
      <c r="D20" s="26">
        <f>1/D19</f>
        <v>0.02</v>
      </c>
      <c r="E20" s="18" t="s">
        <v>31</v>
      </c>
      <c r="F20" s="15"/>
      <c r="G20" s="15"/>
      <c r="H20" s="15"/>
      <c r="I20" s="19"/>
      <c r="J20" s="9"/>
      <c r="K20" s="265"/>
      <c r="L20" s="265"/>
      <c r="M20" s="265"/>
      <c r="N20" s="265"/>
      <c r="O20" s="265"/>
      <c r="P20" s="265"/>
      <c r="Q20" s="265"/>
      <c r="R20" s="265"/>
      <c r="S20" s="265"/>
      <c r="T20" s="265"/>
      <c r="U20" s="265"/>
      <c r="V20" s="265"/>
      <c r="W20" s="265"/>
      <c r="X20" s="265"/>
      <c r="Y20" s="265"/>
      <c r="Z20" s="265"/>
    </row>
    <row r="21" spans="1:26">
      <c r="A21" s="9"/>
      <c r="B21" s="17"/>
      <c r="C21" s="15"/>
      <c r="D21" s="15"/>
      <c r="E21" s="18"/>
      <c r="F21" s="15"/>
      <c r="G21" s="15" t="s">
        <v>18</v>
      </c>
      <c r="H21" s="28">
        <f>IF(AND(D13&lt;&gt;"",H18&lt;&gt;""),H18/D13,"")</f>
        <v>2.4894610021544834E-9</v>
      </c>
      <c r="I21" s="19" t="s">
        <v>19</v>
      </c>
      <c r="J21" s="9"/>
      <c r="K21" s="265"/>
      <c r="L21" s="265"/>
      <c r="M21" s="265"/>
      <c r="N21" s="265"/>
      <c r="O21" s="265"/>
      <c r="P21" s="265"/>
      <c r="Q21" s="265"/>
      <c r="R21" s="265"/>
      <c r="S21" s="265"/>
      <c r="T21" s="265"/>
      <c r="U21" s="265"/>
      <c r="V21" s="265"/>
      <c r="W21" s="265"/>
      <c r="X21" s="265"/>
      <c r="Y21" s="265"/>
      <c r="Z21" s="265"/>
    </row>
    <row r="22" spans="1:26">
      <c r="A22" s="9"/>
      <c r="B22" s="17" t="s">
        <v>32</v>
      </c>
      <c r="C22" s="80"/>
      <c r="D22" s="27">
        <f>IF(C22&lt;&gt;"",C22,IF(D10&lt;&gt;"",IF(D10&lt;1750,0.475,0.65),0.65))</f>
        <v>0.47499999999999998</v>
      </c>
      <c r="E22" s="18"/>
      <c r="F22" s="15"/>
      <c r="G22" s="277" t="s">
        <v>353</v>
      </c>
      <c r="H22" s="28">
        <f>IF(AND(D11&lt;&gt;"",H21&lt;&gt;""),H21*D11,"")</f>
        <v>3.6588674382620008E-5</v>
      </c>
      <c r="I22" s="19" t="s">
        <v>17</v>
      </c>
      <c r="J22" s="9"/>
      <c r="K22" s="265"/>
      <c r="L22" s="265"/>
      <c r="M22" s="265"/>
      <c r="N22" s="265"/>
      <c r="O22" s="265"/>
      <c r="P22" s="265"/>
      <c r="Q22" s="265"/>
      <c r="R22" s="265"/>
      <c r="S22" s="265"/>
      <c r="T22" s="265"/>
      <c r="U22" s="265"/>
      <c r="V22" s="265"/>
      <c r="W22" s="265"/>
      <c r="X22" s="265"/>
      <c r="Y22" s="265"/>
      <c r="Z22" s="265"/>
    </row>
    <row r="23" spans="1:26" ht="13.5" thickBot="1">
      <c r="A23" s="9"/>
      <c r="B23" s="17" t="s">
        <v>33</v>
      </c>
      <c r="C23" s="264"/>
      <c r="D23" s="27">
        <f>IF(C23&lt;&gt;"",C23,1)</f>
        <v>1</v>
      </c>
      <c r="E23" s="15"/>
      <c r="F23" s="15"/>
      <c r="G23" s="15"/>
      <c r="H23" s="36"/>
      <c r="I23" s="19"/>
      <c r="J23" s="9"/>
      <c r="K23" s="265"/>
      <c r="L23" s="265"/>
      <c r="M23" s="265"/>
      <c r="N23" s="265"/>
      <c r="O23" s="265"/>
      <c r="P23" s="265"/>
      <c r="Q23" s="265"/>
      <c r="R23" s="265"/>
      <c r="S23" s="265"/>
      <c r="T23" s="265"/>
      <c r="U23" s="265"/>
      <c r="V23" s="265"/>
      <c r="W23" s="265"/>
      <c r="X23" s="265"/>
      <c r="Y23" s="265"/>
      <c r="Z23" s="265"/>
    </row>
    <row r="24" spans="1:26" ht="21" thickTop="1">
      <c r="A24" s="9"/>
      <c r="B24" s="17"/>
      <c r="C24" s="15"/>
      <c r="D24" s="27"/>
      <c r="E24" s="15"/>
      <c r="F24" s="15"/>
      <c r="G24" s="15"/>
      <c r="H24" s="36"/>
      <c r="I24" s="19"/>
      <c r="J24" s="9"/>
      <c r="K24" s="367" t="s">
        <v>346</v>
      </c>
      <c r="L24" s="368"/>
      <c r="M24" s="368"/>
      <c r="N24" s="368"/>
      <c r="O24" s="368"/>
      <c r="P24" s="368"/>
      <c r="Q24" s="368"/>
      <c r="R24" s="368"/>
      <c r="S24" s="368"/>
      <c r="T24" s="368"/>
      <c r="U24" s="368"/>
      <c r="V24" s="368"/>
      <c r="W24" s="368"/>
      <c r="X24" s="265"/>
      <c r="Y24" s="265"/>
      <c r="Z24" s="265"/>
    </row>
    <row r="25" spans="1:26">
      <c r="A25" s="9"/>
      <c r="B25" s="389" t="s">
        <v>204</v>
      </c>
      <c r="C25" s="390"/>
      <c r="D25" s="390"/>
      <c r="E25" s="390"/>
      <c r="F25" s="390"/>
      <c r="G25" s="390"/>
      <c r="H25" s="390"/>
      <c r="I25" s="391"/>
      <c r="J25" s="9"/>
      <c r="K25" s="265"/>
      <c r="L25" s="265"/>
      <c r="M25" s="265"/>
      <c r="N25" s="265"/>
      <c r="O25" s="265"/>
      <c r="P25" s="265"/>
      <c r="Q25" s="265"/>
      <c r="R25" s="265"/>
      <c r="S25" s="265"/>
      <c r="T25" s="265"/>
      <c r="U25" s="265"/>
      <c r="V25" s="265"/>
      <c r="W25" s="265"/>
      <c r="X25" s="265"/>
      <c r="Y25" s="265"/>
      <c r="Z25" s="265"/>
    </row>
    <row r="26" spans="1:26">
      <c r="A26" s="9"/>
      <c r="B26" s="81" t="s">
        <v>173</v>
      </c>
      <c r="C26" s="82" t="s">
        <v>208</v>
      </c>
      <c r="D26" s="86">
        <f>H19</f>
        <v>1.13212508496612E-2</v>
      </c>
      <c r="E26" s="90" t="s">
        <v>7</v>
      </c>
      <c r="F26" s="83"/>
      <c r="G26" s="83"/>
      <c r="H26" s="87"/>
      <c r="I26" s="85"/>
      <c r="J26" s="9"/>
      <c r="K26" s="265"/>
      <c r="L26" s="265"/>
      <c r="M26" s="265"/>
      <c r="N26" s="265"/>
      <c r="O26" s="265"/>
      <c r="P26" s="265"/>
      <c r="Q26" s="265"/>
      <c r="R26" s="265"/>
      <c r="S26" s="265"/>
      <c r="T26" s="265"/>
      <c r="U26" s="265"/>
      <c r="V26" s="265"/>
      <c r="W26" s="265"/>
      <c r="X26" s="265"/>
      <c r="Y26" s="265"/>
      <c r="Z26" s="265"/>
    </row>
    <row r="27" spans="1:26">
      <c r="A27" s="9"/>
      <c r="B27" s="81" t="s">
        <v>174</v>
      </c>
      <c r="C27" s="82" t="s">
        <v>215</v>
      </c>
      <c r="D27" s="86">
        <f>H13</f>
        <v>0.56606254248305998</v>
      </c>
      <c r="E27" s="90" t="s">
        <v>23</v>
      </c>
      <c r="F27" s="83"/>
      <c r="G27" s="83"/>
      <c r="H27" s="87"/>
      <c r="I27" s="85"/>
      <c r="J27" s="9"/>
      <c r="K27" s="265"/>
      <c r="L27" s="265"/>
      <c r="M27" s="265"/>
      <c r="N27" s="265"/>
      <c r="O27" s="265"/>
      <c r="P27" s="265"/>
      <c r="Q27" s="265"/>
      <c r="R27" s="265"/>
      <c r="S27" s="265"/>
      <c r="T27" s="265"/>
      <c r="U27" s="265"/>
      <c r="V27" s="265"/>
      <c r="W27" s="265"/>
      <c r="X27" s="265"/>
      <c r="Y27" s="265"/>
      <c r="Z27" s="265"/>
    </row>
    <row r="28" spans="1:26">
      <c r="A28" s="9"/>
      <c r="B28" s="81" t="s">
        <v>175</v>
      </c>
      <c r="C28" s="82" t="s">
        <v>214</v>
      </c>
      <c r="D28" s="86">
        <f>H12</f>
        <v>0.56606254248305998</v>
      </c>
      <c r="E28" s="90" t="s">
        <v>23</v>
      </c>
      <c r="F28" s="83"/>
      <c r="G28" s="83"/>
      <c r="H28" s="87"/>
      <c r="I28" s="85"/>
      <c r="J28" s="9"/>
      <c r="K28" s="265"/>
      <c r="L28" s="265"/>
      <c r="M28" s="265"/>
      <c r="N28" s="265"/>
      <c r="O28" s="265"/>
      <c r="P28" s="265"/>
      <c r="Q28" s="265"/>
      <c r="R28" s="265"/>
      <c r="S28" s="265"/>
      <c r="T28" s="265"/>
      <c r="U28" s="265"/>
      <c r="V28" s="265"/>
      <c r="W28" s="265"/>
      <c r="X28" s="265"/>
      <c r="Y28" s="265"/>
      <c r="Z28" s="265"/>
    </row>
    <row r="29" spans="1:26">
      <c r="A29" s="9"/>
      <c r="B29" s="81" t="s">
        <v>177</v>
      </c>
      <c r="C29" s="82" t="s">
        <v>208</v>
      </c>
      <c r="D29" s="86">
        <f>H18</f>
        <v>8.6035772234458949E-2</v>
      </c>
      <c r="E29" s="90" t="s">
        <v>7</v>
      </c>
      <c r="F29" s="83"/>
      <c r="G29" s="83"/>
      <c r="H29" s="87"/>
      <c r="I29" s="85"/>
      <c r="J29" s="9"/>
      <c r="K29" s="265"/>
      <c r="L29" s="265"/>
      <c r="M29" s="265"/>
      <c r="N29" s="265"/>
      <c r="O29" s="265"/>
      <c r="P29" s="265"/>
      <c r="Q29" s="265"/>
      <c r="R29" s="265"/>
      <c r="S29" s="265"/>
      <c r="T29" s="265"/>
      <c r="U29" s="265"/>
      <c r="V29" s="265"/>
      <c r="W29" s="265"/>
      <c r="X29" s="265"/>
      <c r="Y29" s="265"/>
      <c r="Z29" s="265"/>
    </row>
    <row r="30" spans="1:26" ht="13.5" thickBot="1">
      <c r="A30" s="37"/>
      <c r="B30" s="29"/>
      <c r="C30" s="30"/>
      <c r="D30" s="31"/>
      <c r="E30" s="32"/>
      <c r="F30" s="30"/>
      <c r="G30" s="30"/>
      <c r="H30" s="31"/>
      <c r="I30" s="33"/>
      <c r="J30" s="9"/>
      <c r="K30" s="265"/>
      <c r="L30" s="265"/>
      <c r="M30" s="265"/>
      <c r="N30" s="265"/>
      <c r="O30" s="265"/>
      <c r="P30" s="265"/>
      <c r="Q30" s="265"/>
      <c r="R30" s="265"/>
      <c r="S30" s="265"/>
      <c r="T30" s="265"/>
      <c r="U30" s="265"/>
      <c r="V30" s="265"/>
      <c r="W30" s="265"/>
      <c r="X30" s="265"/>
      <c r="Y30" s="265"/>
      <c r="Z30" s="265"/>
    </row>
    <row r="31" spans="1:26" ht="13.5" thickTop="1">
      <c r="A31" s="9"/>
      <c r="B31" s="9"/>
      <c r="C31" s="9"/>
      <c r="D31" s="12"/>
      <c r="E31" s="13"/>
      <c r="F31" s="9"/>
      <c r="G31" s="9"/>
      <c r="H31" s="12"/>
      <c r="I31" s="13"/>
      <c r="J31" s="9"/>
      <c r="K31" s="265"/>
      <c r="L31" s="265"/>
      <c r="M31" s="265"/>
      <c r="N31" s="265"/>
      <c r="O31" s="265"/>
      <c r="P31" s="265"/>
      <c r="Q31" s="265"/>
      <c r="R31" s="265"/>
      <c r="S31" s="265"/>
      <c r="T31" s="265"/>
      <c r="U31" s="265"/>
      <c r="V31" s="265"/>
      <c r="W31" s="265"/>
      <c r="X31" s="265"/>
      <c r="Y31" s="265"/>
      <c r="Z31" s="265"/>
    </row>
    <row r="32" spans="1:26">
      <c r="A32" s="9"/>
      <c r="B32" s="9"/>
      <c r="C32" s="9"/>
      <c r="D32" s="12"/>
      <c r="E32" s="13"/>
      <c r="F32" s="9"/>
      <c r="G32" s="9"/>
      <c r="H32" s="12"/>
      <c r="I32" s="13"/>
      <c r="J32" s="9"/>
      <c r="K32" s="265"/>
      <c r="L32" s="265"/>
      <c r="M32" s="265"/>
      <c r="N32" s="265"/>
      <c r="O32" s="265"/>
      <c r="P32" s="265"/>
      <c r="Q32" s="265"/>
      <c r="R32" s="265"/>
      <c r="S32" s="265"/>
      <c r="T32" s="265"/>
      <c r="U32" s="265"/>
      <c r="V32" s="265"/>
      <c r="W32" s="265"/>
      <c r="X32" s="265"/>
      <c r="Y32" s="265"/>
      <c r="Z32" s="265"/>
    </row>
    <row r="33" spans="1:26">
      <c r="A33" s="265"/>
      <c r="B33" s="265"/>
      <c r="C33" s="265"/>
      <c r="D33" s="266"/>
      <c r="E33" s="267"/>
      <c r="F33" s="265"/>
      <c r="G33" s="265"/>
      <c r="H33" s="266"/>
      <c r="I33" s="267"/>
      <c r="J33" s="265"/>
      <c r="K33" s="265"/>
      <c r="L33" s="265"/>
      <c r="M33" s="265"/>
      <c r="N33" s="265"/>
      <c r="O33" s="265"/>
      <c r="P33" s="265"/>
      <c r="Q33" s="265"/>
      <c r="R33" s="265"/>
      <c r="S33" s="265"/>
      <c r="T33" s="265"/>
      <c r="U33" s="265"/>
      <c r="V33" s="265"/>
      <c r="W33" s="265"/>
      <c r="X33" s="265"/>
      <c r="Y33" s="265"/>
      <c r="Z33" s="265"/>
    </row>
    <row r="34" spans="1:26">
      <c r="A34" s="265"/>
      <c r="B34" s="265"/>
      <c r="C34" s="265"/>
      <c r="D34" s="266"/>
      <c r="E34" s="267"/>
      <c r="F34" s="265"/>
      <c r="G34" s="265"/>
      <c r="H34" s="266"/>
      <c r="I34" s="267"/>
      <c r="J34" s="265"/>
      <c r="K34" s="265"/>
      <c r="L34" s="265"/>
      <c r="M34" s="265"/>
      <c r="N34" s="265" t="s">
        <v>182</v>
      </c>
      <c r="O34" s="265" t="s">
        <v>183</v>
      </c>
      <c r="P34" s="265" t="s">
        <v>190</v>
      </c>
      <c r="Q34" s="265" t="s">
        <v>189</v>
      </c>
      <c r="R34" s="265" t="s">
        <v>197</v>
      </c>
      <c r="S34" s="265" t="s">
        <v>198</v>
      </c>
      <c r="T34" s="265"/>
      <c r="U34" s="265"/>
      <c r="V34" s="265"/>
      <c r="W34" s="265"/>
      <c r="X34" s="265"/>
      <c r="Y34" s="265"/>
      <c r="Z34" s="265"/>
    </row>
    <row r="35" spans="1:26" ht="13.5" thickBot="1">
      <c r="A35" s="265"/>
      <c r="B35" s="268"/>
      <c r="C35" s="265"/>
      <c r="D35" s="269"/>
      <c r="E35" s="267"/>
      <c r="F35" s="265"/>
      <c r="G35" s="265"/>
      <c r="H35" s="266"/>
      <c r="I35" s="267"/>
      <c r="J35" s="265"/>
      <c r="K35" s="265"/>
      <c r="L35" s="265" t="s">
        <v>180</v>
      </c>
      <c r="M35" s="265" t="s">
        <v>191</v>
      </c>
      <c r="N35" s="265">
        <v>150</v>
      </c>
      <c r="O35" s="265">
        <v>0.06</v>
      </c>
      <c r="P35" s="265">
        <v>0.7</v>
      </c>
      <c r="Q35" s="265">
        <v>0.7</v>
      </c>
      <c r="R35" s="265"/>
      <c r="S35" s="265"/>
      <c r="T35" s="265"/>
      <c r="U35" s="265"/>
      <c r="V35" s="265"/>
      <c r="W35" s="265"/>
      <c r="X35" s="265"/>
      <c r="Y35" s="265"/>
      <c r="Z35" s="265"/>
    </row>
    <row r="36" spans="1:26" ht="21" thickTop="1">
      <c r="A36" s="367" t="s">
        <v>349</v>
      </c>
      <c r="B36" s="368"/>
      <c r="C36" s="368"/>
      <c r="D36" s="368"/>
      <c r="E36" s="368"/>
      <c r="F36" s="368"/>
      <c r="G36" s="368"/>
      <c r="H36" s="368"/>
      <c r="I36" s="368"/>
      <c r="J36" s="368"/>
      <c r="K36" s="265"/>
      <c r="L36" s="265" t="s">
        <v>180</v>
      </c>
      <c r="M36" s="265" t="s">
        <v>192</v>
      </c>
      <c r="N36" s="265">
        <v>500</v>
      </c>
      <c r="O36" s="265">
        <v>0.08</v>
      </c>
      <c r="P36" s="265">
        <v>25</v>
      </c>
      <c r="Q36" s="265">
        <v>0.1</v>
      </c>
      <c r="R36" s="265">
        <v>0.2</v>
      </c>
      <c r="S36" s="265">
        <v>0.3</v>
      </c>
      <c r="T36" s="265"/>
      <c r="U36" s="265"/>
      <c r="V36" s="265"/>
      <c r="W36" s="265"/>
      <c r="X36" s="265"/>
      <c r="Y36" s="265"/>
      <c r="Z36" s="265"/>
    </row>
    <row r="37" spans="1:26">
      <c r="A37" s="265"/>
      <c r="B37" s="265"/>
      <c r="C37" s="265"/>
      <c r="D37" s="265"/>
      <c r="E37" s="265"/>
      <c r="F37" s="265"/>
      <c r="G37" s="265"/>
      <c r="H37" s="265"/>
      <c r="I37" s="265"/>
      <c r="J37" s="265"/>
      <c r="K37" s="265"/>
      <c r="L37" s="265" t="s">
        <v>184</v>
      </c>
      <c r="M37" s="265" t="s">
        <v>193</v>
      </c>
      <c r="N37" s="265">
        <v>2500</v>
      </c>
      <c r="O37" s="265">
        <v>0.08</v>
      </c>
      <c r="P37" s="265">
        <v>75</v>
      </c>
      <c r="Q37" s="265">
        <v>2.5000000000000001E-2</v>
      </c>
      <c r="R37" s="265"/>
      <c r="S37" s="265"/>
      <c r="T37" s="265"/>
      <c r="U37" s="265"/>
      <c r="V37" s="265"/>
      <c r="W37" s="265"/>
      <c r="X37" s="265"/>
      <c r="Y37" s="265"/>
      <c r="Z37" s="265"/>
    </row>
    <row r="38" spans="1:26">
      <c r="A38" s="265"/>
      <c r="B38" s="268"/>
      <c r="C38" s="265"/>
      <c r="D38" s="269"/>
      <c r="E38" s="267"/>
      <c r="F38" s="265"/>
      <c r="G38" s="265"/>
      <c r="H38" s="266"/>
      <c r="I38" s="267"/>
      <c r="J38" s="265"/>
      <c r="K38" s="265"/>
      <c r="L38" s="265" t="s">
        <v>184</v>
      </c>
      <c r="M38" s="265" t="s">
        <v>194</v>
      </c>
      <c r="N38" s="265">
        <v>1500</v>
      </c>
      <c r="O38" s="265">
        <v>0.08</v>
      </c>
      <c r="P38" s="265">
        <v>65</v>
      </c>
      <c r="Q38" s="265">
        <v>0.05</v>
      </c>
      <c r="R38" s="265"/>
      <c r="S38" s="265"/>
      <c r="T38" s="265"/>
      <c r="U38" s="265"/>
      <c r="V38" s="265"/>
      <c r="W38" s="265"/>
      <c r="X38" s="265"/>
      <c r="Y38" s="265"/>
      <c r="Z38" s="265"/>
    </row>
    <row r="39" spans="1:26">
      <c r="A39" s="265"/>
      <c r="B39" s="265"/>
      <c r="C39" s="265"/>
      <c r="D39" s="266"/>
      <c r="E39" s="267"/>
      <c r="F39" s="265"/>
      <c r="G39" s="265"/>
      <c r="H39" s="266"/>
      <c r="I39" s="267"/>
      <c r="J39" s="265"/>
      <c r="K39" s="265"/>
      <c r="L39" s="265" t="s">
        <v>181</v>
      </c>
      <c r="M39" s="265" t="s">
        <v>195</v>
      </c>
      <c r="N39" s="265">
        <v>2000</v>
      </c>
      <c r="O39" s="265">
        <v>0.08</v>
      </c>
      <c r="P39" s="265">
        <v>70</v>
      </c>
      <c r="Q39" s="265">
        <v>0.05</v>
      </c>
      <c r="R39" s="265"/>
      <c r="S39" s="265"/>
      <c r="T39" s="265"/>
      <c r="U39" s="265"/>
      <c r="V39" s="265"/>
      <c r="W39" s="265"/>
      <c r="X39" s="265"/>
      <c r="Y39" s="265"/>
      <c r="Z39" s="265"/>
    </row>
    <row r="40" spans="1:26">
      <c r="A40" s="265"/>
      <c r="B40" s="265"/>
      <c r="C40" s="265"/>
      <c r="D40" s="266"/>
      <c r="E40" s="267"/>
      <c r="F40" s="265"/>
      <c r="G40" s="265"/>
      <c r="H40" s="266"/>
      <c r="I40" s="267"/>
      <c r="J40" s="265"/>
      <c r="K40" s="265"/>
      <c r="L40" s="265" t="s">
        <v>181</v>
      </c>
      <c r="M40" s="265" t="s">
        <v>196</v>
      </c>
      <c r="N40" s="265">
        <v>4000</v>
      </c>
      <c r="O40" s="265">
        <v>0.08</v>
      </c>
      <c r="P40" s="265">
        <v>140</v>
      </c>
      <c r="Q40" s="265">
        <v>0.02</v>
      </c>
      <c r="R40" s="265" t="s">
        <v>199</v>
      </c>
      <c r="S40" s="265">
        <v>0.5</v>
      </c>
      <c r="T40" s="265"/>
      <c r="U40" s="265"/>
      <c r="V40" s="265"/>
      <c r="W40" s="265"/>
      <c r="X40" s="265"/>
      <c r="Y40" s="265"/>
      <c r="Z40" s="265"/>
    </row>
    <row r="41" spans="1:26">
      <c r="A41" s="265"/>
      <c r="B41" s="265"/>
      <c r="C41" s="265"/>
      <c r="D41" s="266"/>
      <c r="E41" s="267"/>
      <c r="F41" s="265"/>
      <c r="G41" s="265"/>
      <c r="H41" s="266"/>
      <c r="I41" s="267"/>
      <c r="J41" s="265"/>
      <c r="K41" s="265"/>
      <c r="L41" s="265" t="s">
        <v>188</v>
      </c>
      <c r="M41" s="265" t="s">
        <v>188</v>
      </c>
      <c r="N41" s="265">
        <f>C10</f>
        <v>0</v>
      </c>
      <c r="O41" s="265"/>
      <c r="P41" s="265"/>
      <c r="Q41" s="265"/>
      <c r="R41" s="265"/>
      <c r="S41" s="265"/>
      <c r="T41" s="265"/>
      <c r="U41" s="265"/>
      <c r="V41" s="265"/>
      <c r="W41" s="265"/>
      <c r="X41" s="265"/>
      <c r="Y41" s="265"/>
      <c r="Z41" s="265"/>
    </row>
    <row r="42" spans="1:26" ht="13.5" thickBot="1">
      <c r="A42" s="265"/>
      <c r="B42" s="268"/>
      <c r="C42" s="265"/>
      <c r="D42" s="266"/>
      <c r="E42" s="267"/>
      <c r="F42" s="265"/>
      <c r="G42" s="265"/>
      <c r="H42" s="266"/>
      <c r="I42" s="267"/>
      <c r="J42" s="265"/>
      <c r="K42" s="265"/>
      <c r="L42" s="265"/>
      <c r="M42" s="265"/>
      <c r="N42" s="265"/>
      <c r="O42" s="265"/>
      <c r="P42" s="265"/>
      <c r="Q42" s="265"/>
      <c r="R42" s="265"/>
      <c r="S42" s="265"/>
      <c r="T42" s="265"/>
      <c r="U42" s="265"/>
      <c r="V42" s="265"/>
      <c r="W42" s="265"/>
      <c r="X42" s="265"/>
      <c r="Y42" s="265"/>
      <c r="Z42" s="265"/>
    </row>
    <row r="43" spans="1:26" ht="21" thickTop="1">
      <c r="A43" s="265"/>
      <c r="B43" s="268"/>
      <c r="C43" s="265"/>
      <c r="D43" s="266"/>
      <c r="E43" s="267"/>
      <c r="F43" s="265"/>
      <c r="G43" s="265"/>
      <c r="H43" s="266"/>
      <c r="I43" s="267"/>
      <c r="J43" s="265"/>
      <c r="K43" s="367" t="s">
        <v>347</v>
      </c>
      <c r="L43" s="368"/>
      <c r="M43" s="368"/>
      <c r="N43" s="368"/>
      <c r="O43" s="368"/>
      <c r="P43" s="368"/>
      <c r="Q43" s="368"/>
      <c r="R43" s="368"/>
      <c r="S43" s="368"/>
      <c r="T43" s="368"/>
      <c r="U43" s="368"/>
      <c r="V43" s="368"/>
      <c r="W43" s="368"/>
      <c r="X43" s="265"/>
      <c r="Y43" s="265"/>
      <c r="Z43" s="265"/>
    </row>
    <row r="44" spans="1:26">
      <c r="A44" s="265"/>
      <c r="B44" s="268"/>
      <c r="C44" s="265"/>
      <c r="D44" s="266"/>
      <c r="E44" s="267"/>
      <c r="F44" s="265"/>
      <c r="G44" s="265"/>
      <c r="H44" s="266"/>
      <c r="I44" s="267"/>
      <c r="J44" s="265"/>
      <c r="K44" s="265"/>
      <c r="L44" s="265"/>
      <c r="M44" s="265"/>
      <c r="N44" s="265"/>
      <c r="O44" s="265"/>
      <c r="P44" s="265"/>
      <c r="Q44" s="265"/>
      <c r="R44" s="265"/>
      <c r="S44" s="265"/>
      <c r="T44" s="265"/>
      <c r="U44" s="265"/>
      <c r="V44" s="265"/>
      <c r="W44" s="265"/>
      <c r="X44" s="265"/>
      <c r="Y44" s="265"/>
      <c r="Z44" s="265"/>
    </row>
    <row r="45" spans="1:26">
      <c r="A45" s="265"/>
      <c r="B45" s="268"/>
      <c r="C45" s="265"/>
      <c r="D45" s="266"/>
      <c r="E45" s="267"/>
      <c r="F45" s="265"/>
      <c r="G45" s="265"/>
      <c r="H45" s="266"/>
      <c r="I45" s="267"/>
      <c r="J45" s="265"/>
      <c r="K45" s="265"/>
      <c r="L45" s="265"/>
      <c r="M45" s="265"/>
      <c r="N45" s="265"/>
      <c r="O45" s="265"/>
      <c r="P45" s="265"/>
      <c r="Q45" s="265"/>
      <c r="R45" s="265"/>
      <c r="S45" s="265"/>
      <c r="T45" s="265"/>
      <c r="U45" s="265"/>
      <c r="V45" s="265"/>
      <c r="W45" s="265"/>
      <c r="X45" s="265"/>
      <c r="Y45" s="265"/>
      <c r="Z45" s="265"/>
    </row>
    <row r="46" spans="1:26">
      <c r="A46" s="265"/>
      <c r="B46" s="265"/>
      <c r="C46" s="265"/>
      <c r="D46" s="266"/>
      <c r="E46" s="267"/>
      <c r="F46" s="265"/>
      <c r="G46" s="265"/>
      <c r="H46" s="266"/>
      <c r="I46" s="267"/>
      <c r="J46" s="265"/>
      <c r="K46" s="265"/>
      <c r="L46" s="265"/>
      <c r="M46" s="265"/>
      <c r="N46" s="265"/>
      <c r="O46" s="265"/>
      <c r="P46" s="265"/>
      <c r="Q46" s="265"/>
      <c r="R46" s="265"/>
      <c r="S46" s="265"/>
      <c r="T46" s="265"/>
      <c r="U46" s="265"/>
      <c r="V46" s="265"/>
      <c r="W46" s="265"/>
      <c r="X46" s="265"/>
      <c r="Y46" s="265"/>
      <c r="Z46" s="265"/>
    </row>
    <row r="47" spans="1:26">
      <c r="A47" s="265"/>
      <c r="B47" s="265"/>
      <c r="C47" s="265"/>
      <c r="D47" s="266"/>
      <c r="E47" s="267"/>
      <c r="F47" s="265"/>
      <c r="G47" s="265"/>
      <c r="H47" s="266"/>
      <c r="I47" s="267"/>
      <c r="J47" s="265"/>
      <c r="K47" s="265"/>
      <c r="L47" s="265"/>
      <c r="M47" s="265"/>
      <c r="N47" s="265"/>
      <c r="O47" s="265"/>
      <c r="P47" s="265"/>
      <c r="Q47" s="265"/>
      <c r="R47" s="265"/>
      <c r="S47" s="265"/>
      <c r="T47" s="265"/>
      <c r="U47" s="265"/>
      <c r="V47" s="265"/>
      <c r="W47" s="265"/>
      <c r="X47" s="265"/>
      <c r="Y47" s="265"/>
      <c r="Z47" s="265"/>
    </row>
    <row r="48" spans="1:26">
      <c r="A48" s="265"/>
      <c r="B48" s="265"/>
      <c r="C48" s="265"/>
      <c r="D48" s="266"/>
      <c r="E48" s="267"/>
      <c r="F48" s="265"/>
      <c r="G48" s="265"/>
      <c r="H48" s="266"/>
      <c r="I48" s="267"/>
      <c r="J48" s="265"/>
      <c r="K48" s="265"/>
      <c r="L48" s="265"/>
      <c r="M48" s="265"/>
      <c r="N48" s="265"/>
      <c r="O48" s="265"/>
      <c r="P48" s="265"/>
      <c r="Q48" s="265"/>
      <c r="R48" s="265"/>
      <c r="S48" s="265"/>
      <c r="T48" s="265"/>
      <c r="U48" s="265"/>
      <c r="V48" s="265"/>
      <c r="W48" s="265"/>
      <c r="X48" s="265"/>
      <c r="Y48" s="265"/>
      <c r="Z48" s="265"/>
    </row>
    <row r="49" spans="1:26">
      <c r="A49" s="265"/>
      <c r="B49" s="265"/>
      <c r="C49" s="265"/>
      <c r="D49" s="266"/>
      <c r="E49" s="267"/>
      <c r="F49" s="265"/>
      <c r="G49" s="265"/>
      <c r="H49" s="266"/>
      <c r="I49" s="267"/>
      <c r="J49" s="265"/>
      <c r="K49" s="265"/>
      <c r="L49" s="265"/>
      <c r="M49" s="265"/>
      <c r="N49" s="265"/>
      <c r="O49" s="265"/>
      <c r="P49" s="265"/>
      <c r="Q49" s="265"/>
      <c r="R49" s="265"/>
      <c r="S49" s="265"/>
      <c r="T49" s="265"/>
      <c r="U49" s="265"/>
      <c r="V49" s="265"/>
      <c r="W49" s="265"/>
      <c r="X49" s="265"/>
      <c r="Y49" s="265"/>
      <c r="Z49" s="265"/>
    </row>
    <row r="50" spans="1:26">
      <c r="A50" s="265"/>
      <c r="B50" s="265"/>
      <c r="C50" s="265"/>
      <c r="D50" s="266"/>
      <c r="E50" s="267"/>
      <c r="F50" s="265"/>
      <c r="G50" s="265"/>
      <c r="H50" s="266"/>
      <c r="I50" s="267"/>
      <c r="J50" s="265"/>
      <c r="K50" s="265"/>
      <c r="L50" s="265"/>
      <c r="M50" s="265"/>
      <c r="N50" s="265"/>
      <c r="O50" s="265"/>
      <c r="P50" s="265"/>
      <c r="Q50" s="265"/>
      <c r="R50" s="265"/>
      <c r="S50" s="265"/>
      <c r="T50" s="265"/>
      <c r="U50" s="265"/>
      <c r="V50" s="265"/>
      <c r="W50" s="265"/>
      <c r="X50" s="265"/>
      <c r="Y50" s="265"/>
      <c r="Z50" s="265"/>
    </row>
    <row r="51" spans="1:26">
      <c r="A51" s="265"/>
      <c r="B51" s="265"/>
      <c r="C51" s="265"/>
      <c r="D51" s="266"/>
      <c r="E51" s="267"/>
      <c r="F51" s="265"/>
      <c r="G51" s="265"/>
      <c r="H51" s="266"/>
      <c r="I51" s="267"/>
      <c r="J51" s="265"/>
      <c r="K51" s="265"/>
      <c r="L51" s="265"/>
      <c r="M51" s="265"/>
      <c r="N51" s="265"/>
      <c r="O51" s="265"/>
      <c r="P51" s="265"/>
      <c r="Q51" s="265"/>
      <c r="R51" s="265"/>
      <c r="S51" s="265"/>
      <c r="T51" s="265"/>
      <c r="U51" s="265"/>
      <c r="V51" s="265"/>
      <c r="W51" s="265"/>
      <c r="X51" s="265"/>
      <c r="Y51" s="265"/>
      <c r="Z51" s="265"/>
    </row>
    <row r="52" spans="1:26">
      <c r="A52" s="265"/>
      <c r="B52" s="265"/>
      <c r="C52" s="265"/>
      <c r="D52" s="266"/>
      <c r="E52" s="267"/>
      <c r="F52" s="265"/>
      <c r="G52" s="265"/>
      <c r="H52" s="266"/>
      <c r="I52" s="267"/>
      <c r="J52" s="265"/>
      <c r="K52" s="265"/>
      <c r="L52" s="265"/>
      <c r="M52" s="265"/>
      <c r="N52" s="265"/>
      <c r="O52" s="265"/>
      <c r="P52" s="265"/>
      <c r="Q52" s="265"/>
      <c r="R52" s="265"/>
      <c r="S52" s="265"/>
      <c r="T52" s="265"/>
      <c r="U52" s="265"/>
      <c r="V52" s="265"/>
      <c r="W52" s="265"/>
      <c r="X52" s="265"/>
      <c r="Y52" s="265"/>
      <c r="Z52" s="265"/>
    </row>
    <row r="53" spans="1:26">
      <c r="A53" s="265"/>
      <c r="B53" s="265"/>
      <c r="C53" s="265"/>
      <c r="D53" s="266"/>
      <c r="E53" s="267"/>
      <c r="F53" s="265"/>
      <c r="G53" s="265"/>
      <c r="H53" s="266"/>
      <c r="I53" s="267"/>
      <c r="J53" s="265"/>
      <c r="K53" s="265"/>
      <c r="L53" s="265"/>
      <c r="M53" s="265"/>
      <c r="N53" s="265"/>
      <c r="O53" s="265"/>
      <c r="P53" s="265"/>
      <c r="Q53" s="265"/>
      <c r="R53" s="265"/>
      <c r="S53" s="265"/>
      <c r="T53" s="265"/>
      <c r="U53" s="265"/>
      <c r="V53" s="265"/>
      <c r="W53" s="265"/>
      <c r="X53" s="265"/>
      <c r="Y53" s="265"/>
      <c r="Z53" s="265"/>
    </row>
    <row r="54" spans="1:26">
      <c r="A54" s="265"/>
      <c r="B54" s="265"/>
      <c r="C54" s="265"/>
      <c r="D54" s="266"/>
      <c r="E54" s="267"/>
      <c r="F54" s="265"/>
      <c r="G54" s="265"/>
      <c r="H54" s="266"/>
      <c r="I54" s="267"/>
      <c r="J54" s="265"/>
      <c r="K54" s="265"/>
      <c r="L54" s="265"/>
      <c r="M54" s="265"/>
      <c r="N54" s="265"/>
      <c r="O54" s="265"/>
      <c r="P54" s="265"/>
      <c r="Q54" s="265"/>
      <c r="R54" s="265"/>
      <c r="S54" s="265"/>
      <c r="T54" s="265"/>
      <c r="U54" s="265"/>
      <c r="V54" s="265"/>
      <c r="W54" s="265"/>
      <c r="X54" s="265"/>
      <c r="Y54" s="265"/>
      <c r="Z54" s="265"/>
    </row>
    <row r="55" spans="1:26">
      <c r="A55" s="265"/>
      <c r="B55" s="265"/>
      <c r="C55" s="265"/>
      <c r="D55" s="266"/>
      <c r="E55" s="267"/>
      <c r="F55" s="265"/>
      <c r="G55" s="265"/>
      <c r="H55" s="266"/>
      <c r="I55" s="267"/>
      <c r="J55" s="265"/>
      <c r="K55" s="265"/>
      <c r="L55" s="265"/>
      <c r="M55" s="265"/>
      <c r="N55" s="265"/>
      <c r="O55" s="265"/>
      <c r="P55" s="265"/>
      <c r="Q55" s="265"/>
      <c r="R55" s="265"/>
      <c r="S55" s="265"/>
      <c r="T55" s="265"/>
      <c r="U55" s="265"/>
      <c r="V55" s="265"/>
      <c r="W55" s="265"/>
      <c r="X55" s="265"/>
      <c r="Y55" s="265"/>
      <c r="Z55" s="265"/>
    </row>
    <row r="56" spans="1:26">
      <c r="A56" s="265"/>
      <c r="B56" s="265"/>
      <c r="C56" s="265"/>
      <c r="D56" s="266"/>
      <c r="E56" s="267"/>
      <c r="F56" s="265"/>
      <c r="G56" s="265"/>
      <c r="H56" s="266"/>
      <c r="I56" s="267"/>
      <c r="J56" s="265"/>
      <c r="K56" s="265"/>
      <c r="L56" s="265"/>
      <c r="M56" s="265"/>
      <c r="N56" s="265"/>
      <c r="O56" s="265"/>
      <c r="P56" s="265"/>
      <c r="Q56" s="265"/>
      <c r="R56" s="265"/>
      <c r="S56" s="265"/>
      <c r="T56" s="265"/>
      <c r="U56" s="265"/>
      <c r="V56" s="265"/>
      <c r="W56" s="265"/>
      <c r="X56" s="265"/>
      <c r="Y56" s="265"/>
      <c r="Z56" s="265"/>
    </row>
    <row r="57" spans="1:26">
      <c r="A57" s="265"/>
      <c r="B57" s="265"/>
      <c r="C57" s="265"/>
      <c r="D57" s="266"/>
      <c r="E57" s="267"/>
      <c r="F57" s="265"/>
      <c r="G57" s="265"/>
      <c r="H57" s="266"/>
      <c r="I57" s="267"/>
      <c r="J57" s="265"/>
      <c r="K57" s="265"/>
      <c r="L57" s="265"/>
      <c r="M57" s="265"/>
      <c r="N57" s="265"/>
      <c r="O57" s="265"/>
      <c r="P57" s="265"/>
      <c r="Q57" s="265"/>
      <c r="R57" s="265"/>
      <c r="S57" s="265"/>
      <c r="T57" s="265"/>
      <c r="U57" s="265"/>
      <c r="V57" s="265"/>
      <c r="W57" s="265"/>
      <c r="X57" s="265"/>
      <c r="Y57" s="265"/>
      <c r="Z57" s="265"/>
    </row>
    <row r="58" spans="1:26">
      <c r="A58" s="265"/>
      <c r="B58" s="265"/>
      <c r="C58" s="265"/>
      <c r="D58" s="266"/>
      <c r="E58" s="267"/>
      <c r="F58" s="265"/>
      <c r="G58" s="265"/>
      <c r="H58" s="266"/>
      <c r="I58" s="267"/>
      <c r="J58" s="265"/>
      <c r="K58" s="265"/>
      <c r="L58" s="265"/>
      <c r="M58" s="265"/>
      <c r="N58" s="265"/>
      <c r="O58" s="265"/>
      <c r="P58" s="265"/>
      <c r="Q58" s="265"/>
      <c r="R58" s="265"/>
      <c r="S58" s="265"/>
      <c r="T58" s="265"/>
      <c r="U58" s="265"/>
      <c r="V58" s="265"/>
      <c r="W58" s="265"/>
      <c r="X58" s="265"/>
      <c r="Y58" s="265"/>
      <c r="Z58" s="265"/>
    </row>
    <row r="59" spans="1:26">
      <c r="A59" s="265"/>
      <c r="B59" s="265"/>
      <c r="C59" s="265"/>
      <c r="D59" s="266"/>
      <c r="E59" s="267"/>
      <c r="F59" s="265"/>
      <c r="G59" s="265"/>
      <c r="H59" s="266"/>
      <c r="I59" s="267"/>
      <c r="J59" s="265"/>
      <c r="K59" s="265"/>
      <c r="L59" s="265"/>
      <c r="M59" s="265"/>
      <c r="N59" s="265"/>
      <c r="O59" s="265"/>
      <c r="P59" s="265"/>
      <c r="Q59" s="265"/>
      <c r="R59" s="265"/>
      <c r="S59" s="265"/>
      <c r="T59" s="265"/>
      <c r="U59" s="265"/>
      <c r="V59" s="265"/>
      <c r="W59" s="265"/>
      <c r="X59" s="265"/>
      <c r="Y59" s="265"/>
      <c r="Z59" s="265"/>
    </row>
    <row r="60" spans="1:26">
      <c r="A60" s="265"/>
      <c r="B60" s="265"/>
      <c r="C60" s="265"/>
      <c r="D60" s="266"/>
      <c r="E60" s="267"/>
      <c r="F60" s="265"/>
      <c r="G60" s="265"/>
      <c r="H60" s="266"/>
      <c r="I60" s="267"/>
      <c r="J60" s="265"/>
      <c r="K60" s="265"/>
      <c r="L60" s="265"/>
      <c r="M60" s="265"/>
      <c r="N60" s="265"/>
      <c r="O60" s="265"/>
      <c r="P60" s="265"/>
      <c r="Q60" s="265"/>
      <c r="R60" s="265"/>
      <c r="S60" s="265"/>
      <c r="T60" s="265"/>
      <c r="U60" s="265"/>
      <c r="V60" s="265"/>
      <c r="W60" s="265"/>
      <c r="X60" s="265"/>
      <c r="Y60" s="265"/>
      <c r="Z60" s="265"/>
    </row>
    <row r="61" spans="1:26">
      <c r="A61" s="265"/>
      <c r="B61" s="265"/>
      <c r="C61" s="265"/>
      <c r="D61" s="266"/>
      <c r="E61" s="267"/>
      <c r="F61" s="265"/>
      <c r="G61" s="265"/>
      <c r="H61" s="266"/>
      <c r="I61" s="267"/>
      <c r="J61" s="265"/>
      <c r="K61" s="265"/>
      <c r="L61" s="265"/>
      <c r="M61" s="265"/>
      <c r="N61" s="265"/>
      <c r="O61" s="265"/>
      <c r="P61" s="265"/>
      <c r="Q61" s="265"/>
      <c r="R61" s="265"/>
      <c r="S61" s="265"/>
      <c r="T61" s="265"/>
      <c r="U61" s="265"/>
      <c r="V61" s="265"/>
      <c r="W61" s="265"/>
      <c r="X61" s="265"/>
      <c r="Y61" s="265"/>
      <c r="Z61" s="265"/>
    </row>
  </sheetData>
  <mergeCells count="9">
    <mergeCell ref="K43:W43"/>
    <mergeCell ref="A36:J36"/>
    <mergeCell ref="B25:I25"/>
    <mergeCell ref="B2:J2"/>
    <mergeCell ref="B5:I5"/>
    <mergeCell ref="B7:I7"/>
    <mergeCell ref="K3:W3"/>
    <mergeCell ref="K4:W4"/>
    <mergeCell ref="K24:W24"/>
  </mergeCells>
  <phoneticPr fontId="0" type="noConversion"/>
  <pageMargins left="0.75" right="0.75" top="1" bottom="1" header="0.5" footer="0.5"/>
  <pageSetup scale="70" orientation="landscape" horizontalDpi="4294967292" verticalDpi="196"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49" r:id="rId4" name="Button 53">
              <controlPr defaultSize="0" print="0" autoFill="0" autoPict="0" macro="[0]!Elec_Propulsion">
                <anchor moveWithCells="1" sizeWithCells="1">
                  <from>
                    <xdr:col>8</xdr:col>
                    <xdr:colOff>28575</xdr:colOff>
                    <xdr:row>8</xdr:row>
                    <xdr:rowOff>0</xdr:rowOff>
                  </from>
                  <to>
                    <xdr:col>8</xdr:col>
                    <xdr:colOff>581025</xdr:colOff>
                    <xdr:row>9</xdr:row>
                    <xdr:rowOff>9525</xdr:rowOff>
                  </to>
                </anchor>
              </controlPr>
            </control>
          </mc:Choice>
        </mc:AlternateContent>
        <mc:AlternateContent xmlns:mc="http://schemas.openxmlformats.org/markup-compatibility/2006">
          <mc:Choice Requires="x14">
            <control shapeId="4150" r:id="rId5" name="Drop Down 54">
              <controlPr defaultSize="0" autoLine="0" autoPict="0">
                <anchor moveWithCells="1">
                  <from>
                    <xdr:col>1</xdr:col>
                    <xdr:colOff>1476375</xdr:colOff>
                    <xdr:row>8</xdr:row>
                    <xdr:rowOff>0</xdr:rowOff>
                  </from>
                  <to>
                    <xdr:col>3</xdr:col>
                    <xdr:colOff>28575</xdr:colOff>
                    <xdr:row>8</xdr:row>
                    <xdr:rowOff>200025</xdr:rowOff>
                  </to>
                </anchor>
              </controlPr>
            </control>
          </mc:Choice>
        </mc:AlternateContent>
        <mc:AlternateContent xmlns:mc="http://schemas.openxmlformats.org/markup-compatibility/2006">
          <mc:Choice Requires="x14">
            <control shapeId="4173" r:id="rId6" name="Button 77">
              <controlPr defaultSize="0" print="0" autoFill="0" autoPict="0" macro="[0]!ElectricSpecificImpulseTrade">
                <anchor moveWithCells="1" sizeWithCells="1">
                  <from>
                    <xdr:col>18</xdr:col>
                    <xdr:colOff>571500</xdr:colOff>
                    <xdr:row>3</xdr:row>
                    <xdr:rowOff>9525</xdr:rowOff>
                  </from>
                  <to>
                    <xdr:col>20</xdr:col>
                    <xdr:colOff>104775</xdr:colOff>
                    <xdr:row>3</xdr:row>
                    <xdr:rowOff>209550</xdr:rowOff>
                  </to>
                </anchor>
              </controlPr>
            </control>
          </mc:Choice>
        </mc:AlternateContent>
        <mc:AlternateContent xmlns:mc="http://schemas.openxmlformats.org/markup-compatibility/2006">
          <mc:Choice Requires="x14">
            <control shapeId="4174" r:id="rId7" name="Button 78">
              <controlPr defaultSize="0" print="0" autoFill="0" autoPict="0" macro="[0]!ElectricMassTrade">
                <anchor moveWithCells="1" sizeWithCells="1">
                  <from>
                    <xdr:col>18</xdr:col>
                    <xdr:colOff>571500</xdr:colOff>
                    <xdr:row>23</xdr:row>
                    <xdr:rowOff>47625</xdr:rowOff>
                  </from>
                  <to>
                    <xdr:col>20</xdr:col>
                    <xdr:colOff>409575</xdr:colOff>
                    <xdr:row>23</xdr:row>
                    <xdr:rowOff>257175</xdr:rowOff>
                  </to>
                </anchor>
              </controlPr>
            </control>
          </mc:Choice>
        </mc:AlternateContent>
        <mc:AlternateContent xmlns:mc="http://schemas.openxmlformats.org/markup-compatibility/2006">
          <mc:Choice Requires="x14">
            <control shapeId="4175" r:id="rId8" name="Button 79">
              <controlPr defaultSize="0" print="0" autoFill="0" autoPict="0" macro="[0]!ElectricDeltaVTrade">
                <anchor moveWithCells="1" sizeWithCells="1">
                  <from>
                    <xdr:col>18</xdr:col>
                    <xdr:colOff>571500</xdr:colOff>
                    <xdr:row>42</xdr:row>
                    <xdr:rowOff>47625</xdr:rowOff>
                  </from>
                  <to>
                    <xdr:col>20</xdr:col>
                    <xdr:colOff>104775</xdr:colOff>
                    <xdr:row>43</xdr:row>
                    <xdr:rowOff>0</xdr:rowOff>
                  </to>
                </anchor>
              </controlPr>
            </control>
          </mc:Choice>
        </mc:AlternateContent>
        <mc:AlternateContent xmlns:mc="http://schemas.openxmlformats.org/markup-compatibility/2006">
          <mc:Choice Requires="x14">
            <control shapeId="4178" r:id="rId9" name="Button 82">
              <controlPr defaultSize="0" print="0" autoFill="0" autoPict="0" macro="[0]!BurnDurationTrade">
                <anchor moveWithCells="1" sizeWithCells="1">
                  <from>
                    <xdr:col>6</xdr:col>
                    <xdr:colOff>657225</xdr:colOff>
                    <xdr:row>35</xdr:row>
                    <xdr:rowOff>28575</xdr:rowOff>
                  </from>
                  <to>
                    <xdr:col>6</xdr:col>
                    <xdr:colOff>1914525</xdr:colOff>
                    <xdr:row>35</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538DD5"/>
  </sheetPr>
  <dimension ref="A1:M12"/>
  <sheetViews>
    <sheetView showGridLines="0" workbookViewId="0">
      <selection activeCell="C16" sqref="C16"/>
    </sheetView>
  </sheetViews>
  <sheetFormatPr defaultColWidth="10.1640625" defaultRowHeight="15"/>
  <cols>
    <col min="1" max="1" width="10.1640625" style="284"/>
    <col min="2" max="2" width="20.33203125" style="284" bestFit="1" customWidth="1"/>
    <col min="3" max="3" width="46.33203125" style="284" customWidth="1"/>
    <col min="4" max="4" width="13.6640625" style="284" customWidth="1"/>
    <col min="5" max="5" width="20" style="284" bestFit="1" customWidth="1"/>
    <col min="6" max="6" width="53.1640625" style="284" customWidth="1"/>
    <col min="7" max="7" width="10.1640625" style="284"/>
    <col min="8" max="16384" width="10.1640625" style="282"/>
  </cols>
  <sheetData>
    <row r="1" spans="2:13" ht="30" customHeight="1">
      <c r="B1" s="397" t="s">
        <v>365</v>
      </c>
      <c r="C1" s="398"/>
      <c r="D1" s="398"/>
      <c r="E1" s="398"/>
      <c r="F1" s="399"/>
      <c r="G1" s="280"/>
      <c r="H1" s="281"/>
      <c r="I1" s="281"/>
      <c r="J1" s="281"/>
      <c r="K1" s="281"/>
      <c r="L1" s="281"/>
      <c r="M1" s="281"/>
    </row>
    <row r="3" spans="2:13">
      <c r="B3" s="283" t="s">
        <v>366</v>
      </c>
      <c r="C3" s="283"/>
      <c r="E3" s="283" t="s">
        <v>381</v>
      </c>
      <c r="F3" s="283"/>
    </row>
    <row r="4" spans="2:13">
      <c r="B4" s="285" t="s">
        <v>367</v>
      </c>
      <c r="C4" s="285" t="s">
        <v>368</v>
      </c>
      <c r="E4" s="285" t="s">
        <v>369</v>
      </c>
      <c r="F4" s="285" t="s">
        <v>368</v>
      </c>
    </row>
    <row r="5" spans="2:13">
      <c r="B5" s="284" t="s">
        <v>370</v>
      </c>
      <c r="E5" s="284" t="s">
        <v>371</v>
      </c>
    </row>
    <row r="6" spans="2:13">
      <c r="B6" s="284" t="s">
        <v>372</v>
      </c>
      <c r="E6" s="284" t="s">
        <v>373</v>
      </c>
    </row>
    <row r="7" spans="2:13">
      <c r="B7" s="284" t="s">
        <v>374</v>
      </c>
      <c r="E7" s="284" t="s">
        <v>375</v>
      </c>
    </row>
    <row r="8" spans="2:13">
      <c r="B8" s="284" t="s">
        <v>376</v>
      </c>
      <c r="E8" s="284" t="s">
        <v>377</v>
      </c>
    </row>
    <row r="9" spans="2:13">
      <c r="B9" s="284" t="s">
        <v>378</v>
      </c>
      <c r="E9" s="284" t="s">
        <v>379</v>
      </c>
    </row>
    <row r="10" spans="2:13">
      <c r="E10" s="284" t="s">
        <v>380</v>
      </c>
    </row>
    <row r="12" spans="2:13">
      <c r="B12" s="286"/>
      <c r="C12" s="286"/>
    </row>
  </sheetData>
  <mergeCells count="1">
    <mergeCell ref="B1:F1"/>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249977111117893"/>
  </sheetPr>
  <dimension ref="A1:AH245"/>
  <sheetViews>
    <sheetView showGridLines="0" zoomScaleNormal="100" workbookViewId="0">
      <selection activeCell="I6" sqref="I6"/>
    </sheetView>
  </sheetViews>
  <sheetFormatPr defaultColWidth="8.83203125" defaultRowHeight="14.25"/>
  <cols>
    <col min="1" max="1" width="29.1640625" style="291" bestFit="1" customWidth="1"/>
    <col min="2" max="2" width="13.33203125" style="291" customWidth="1"/>
    <col min="3" max="3" width="14" style="291" customWidth="1"/>
    <col min="4" max="7" width="8.83203125" style="291"/>
    <col min="8" max="8" width="10.33203125" style="291" customWidth="1"/>
    <col min="9" max="16384" width="8.83203125" style="291"/>
  </cols>
  <sheetData>
    <row r="1" spans="1:34">
      <c r="A1" s="287">
        <v>1</v>
      </c>
      <c r="B1" s="288"/>
      <c r="C1" s="289"/>
      <c r="D1" s="289"/>
      <c r="E1" s="289"/>
      <c r="F1" s="289"/>
      <c r="G1" s="289"/>
      <c r="H1" s="288"/>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1:34">
      <c r="A2" s="287">
        <v>1</v>
      </c>
      <c r="B2" s="288"/>
      <c r="C2" s="289"/>
      <c r="D2" s="288"/>
      <c r="E2" s="288"/>
      <c r="F2" s="288"/>
      <c r="G2" s="288"/>
      <c r="H2" s="288"/>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row>
    <row r="3" spans="1:34">
      <c r="A3" s="287">
        <v>1</v>
      </c>
      <c r="B3" s="288"/>
      <c r="C3" s="289"/>
      <c r="D3" s="288"/>
      <c r="E3" s="288"/>
      <c r="F3" s="288"/>
      <c r="G3" s="288"/>
      <c r="H3" s="288"/>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row>
    <row r="4" spans="1:34">
      <c r="A4" s="287"/>
      <c r="B4" s="287"/>
      <c r="C4" s="287"/>
      <c r="D4" s="287"/>
      <c r="E4" s="287"/>
      <c r="F4" s="287"/>
      <c r="G4" s="287"/>
      <c r="H4" s="287"/>
      <c r="I4" s="290"/>
      <c r="J4" s="290"/>
      <c r="K4" s="290"/>
      <c r="L4" s="290"/>
      <c r="M4" s="290"/>
      <c r="N4" s="290"/>
      <c r="O4" s="290"/>
      <c r="P4" s="290"/>
      <c r="Q4" s="290"/>
      <c r="R4" s="290"/>
      <c r="S4" s="290"/>
      <c r="T4" s="290"/>
      <c r="U4" s="290"/>
      <c r="V4" s="290"/>
      <c r="W4" s="290"/>
      <c r="X4" s="290"/>
      <c r="Y4" s="290"/>
      <c r="Z4" s="290"/>
      <c r="AA4" s="290"/>
      <c r="AB4" s="290"/>
      <c r="AC4" s="290"/>
      <c r="AD4" s="290"/>
      <c r="AE4" s="290"/>
      <c r="AF4" s="290"/>
      <c r="AG4" s="290"/>
      <c r="AH4" s="290"/>
    </row>
    <row r="5" spans="1:34">
      <c r="A5" s="287"/>
      <c r="B5" s="287"/>
      <c r="C5" s="287"/>
      <c r="D5" s="287"/>
      <c r="E5" s="287"/>
      <c r="F5" s="287"/>
      <c r="G5" s="287"/>
      <c r="H5" s="287"/>
      <c r="I5" s="290"/>
      <c r="J5" s="290"/>
      <c r="K5" s="290"/>
      <c r="L5" s="290"/>
      <c r="M5" s="290"/>
      <c r="N5" s="290"/>
      <c r="O5" s="290"/>
      <c r="P5" s="290"/>
      <c r="Q5" s="290"/>
      <c r="R5" s="290"/>
      <c r="S5" s="290"/>
      <c r="T5" s="290"/>
      <c r="U5" s="290"/>
      <c r="V5" s="290"/>
      <c r="W5" s="290"/>
      <c r="X5" s="290"/>
      <c r="Y5" s="290"/>
      <c r="Z5" s="290"/>
      <c r="AA5" s="290"/>
      <c r="AB5" s="290"/>
      <c r="AC5" s="290"/>
      <c r="AD5" s="290"/>
      <c r="AE5" s="290"/>
      <c r="AF5" s="290"/>
      <c r="AG5" s="290"/>
      <c r="AH5" s="290"/>
    </row>
    <row r="6" spans="1:34">
      <c r="A6" s="287"/>
      <c r="B6" s="287"/>
      <c r="C6" s="287"/>
      <c r="D6" s="287"/>
      <c r="E6" s="287"/>
      <c r="F6" s="287"/>
      <c r="G6" s="287"/>
      <c r="H6" s="287"/>
      <c r="I6" s="290"/>
      <c r="J6" s="290"/>
      <c r="K6" s="290"/>
      <c r="L6" s="290"/>
      <c r="M6" s="290"/>
      <c r="N6" s="290"/>
      <c r="O6" s="290"/>
      <c r="P6" s="290"/>
      <c r="Q6" s="290"/>
      <c r="R6" s="290"/>
      <c r="S6" s="290"/>
      <c r="T6" s="290"/>
      <c r="U6" s="290"/>
      <c r="V6" s="290"/>
      <c r="W6" s="290"/>
      <c r="X6" s="290"/>
      <c r="Y6" s="290"/>
      <c r="Z6" s="290"/>
      <c r="AA6" s="290"/>
      <c r="AB6" s="290"/>
      <c r="AC6" s="290"/>
      <c r="AD6" s="290"/>
      <c r="AE6" s="290"/>
      <c r="AF6" s="290"/>
      <c r="AG6" s="290"/>
      <c r="AH6" s="290"/>
    </row>
    <row r="7" spans="1:34">
      <c r="A7" s="287"/>
      <c r="B7" s="287"/>
      <c r="C7" s="287"/>
      <c r="D7" s="287"/>
      <c r="E7" s="287"/>
      <c r="F7" s="287"/>
      <c r="G7" s="287"/>
      <c r="H7" s="287"/>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row>
    <row r="8" spans="1:34">
      <c r="A8" s="287"/>
      <c r="B8" s="287"/>
      <c r="C8" s="287"/>
      <c r="D8" s="287"/>
      <c r="E8" s="287"/>
      <c r="F8" s="287"/>
      <c r="G8" s="287"/>
      <c r="H8" s="287"/>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row>
    <row r="9" spans="1:34">
      <c r="A9" s="287"/>
      <c r="B9" s="287"/>
      <c r="C9" s="287"/>
      <c r="D9" s="287"/>
      <c r="E9" s="287"/>
      <c r="F9" s="287"/>
      <c r="G9" s="287"/>
      <c r="H9" s="287"/>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row>
    <row r="10" spans="1:34">
      <c r="A10" s="287"/>
      <c r="B10" s="287"/>
      <c r="C10" s="287"/>
      <c r="D10" s="287"/>
      <c r="E10" s="287"/>
      <c r="F10" s="287"/>
      <c r="G10" s="287"/>
      <c r="H10" s="287"/>
      <c r="I10" s="290"/>
      <c r="J10" s="290"/>
      <c r="K10" s="290"/>
      <c r="L10" s="290"/>
      <c r="M10" s="290"/>
      <c r="N10" s="290"/>
      <c r="O10" s="290"/>
      <c r="P10" s="290"/>
      <c r="Q10" s="290"/>
      <c r="R10" s="290"/>
      <c r="S10" s="290"/>
      <c r="T10" s="290"/>
      <c r="U10" s="290"/>
      <c r="V10" s="290"/>
      <c r="W10" s="290"/>
      <c r="X10" s="290"/>
      <c r="Y10" s="290"/>
      <c r="Z10" s="290"/>
      <c r="AA10" s="290"/>
      <c r="AB10" s="290"/>
      <c r="AC10" s="290"/>
      <c r="AD10" s="290"/>
      <c r="AE10" s="290"/>
      <c r="AF10" s="290"/>
      <c r="AG10" s="290"/>
      <c r="AH10" s="290"/>
    </row>
    <row r="11" spans="1:34">
      <c r="A11" s="287"/>
      <c r="B11" s="287"/>
      <c r="C11" s="287"/>
      <c r="D11" s="287"/>
      <c r="E11" s="287"/>
      <c r="F11" s="287"/>
      <c r="G11" s="287"/>
      <c r="H11" s="287"/>
      <c r="I11" s="290"/>
      <c r="J11" s="290"/>
      <c r="K11" s="290"/>
      <c r="L11" s="290"/>
      <c r="M11" s="290"/>
      <c r="N11" s="290"/>
      <c r="O11" s="290"/>
      <c r="P11" s="290"/>
      <c r="Q11" s="290"/>
      <c r="R11" s="290"/>
      <c r="S11" s="290"/>
      <c r="T11" s="290"/>
      <c r="U11" s="290"/>
      <c r="V11" s="290"/>
      <c r="W11" s="290"/>
      <c r="X11" s="290"/>
      <c r="Y11" s="290"/>
      <c r="Z11" s="290"/>
      <c r="AA11" s="290"/>
      <c r="AB11" s="290"/>
      <c r="AC11" s="290"/>
      <c r="AD11" s="290"/>
      <c r="AE11" s="290"/>
      <c r="AF11" s="290"/>
      <c r="AG11" s="290"/>
      <c r="AH11" s="290"/>
    </row>
    <row r="12" spans="1:34">
      <c r="A12" s="287"/>
      <c r="B12" s="287"/>
      <c r="C12" s="287"/>
      <c r="D12" s="287"/>
      <c r="E12" s="287"/>
      <c r="F12" s="287"/>
      <c r="G12" s="287"/>
      <c r="H12" s="287"/>
      <c r="I12" s="290"/>
      <c r="J12" s="290"/>
      <c r="K12" s="290"/>
      <c r="L12" s="290"/>
      <c r="M12" s="290"/>
      <c r="N12" s="290"/>
      <c r="O12" s="290"/>
      <c r="P12" s="290"/>
      <c r="Q12" s="290"/>
      <c r="R12" s="290"/>
      <c r="S12" s="290"/>
      <c r="T12" s="290"/>
      <c r="U12" s="290"/>
      <c r="V12" s="290"/>
      <c r="W12" s="290"/>
      <c r="X12" s="290"/>
      <c r="Y12" s="290"/>
      <c r="Z12" s="290"/>
      <c r="AA12" s="290"/>
      <c r="AB12" s="290"/>
      <c r="AC12" s="290"/>
      <c r="AD12" s="290"/>
      <c r="AE12" s="290"/>
      <c r="AF12" s="290"/>
      <c r="AG12" s="290"/>
      <c r="AH12" s="290"/>
    </row>
    <row r="13" spans="1:34">
      <c r="A13" s="287"/>
      <c r="B13" s="287"/>
      <c r="C13" s="287"/>
      <c r="D13" s="287"/>
      <c r="E13" s="287"/>
      <c r="F13" s="287"/>
      <c r="G13" s="287"/>
      <c r="H13" s="287"/>
      <c r="I13" s="290"/>
      <c r="J13" s="290"/>
      <c r="K13" s="290"/>
      <c r="L13" s="290"/>
      <c r="M13" s="290"/>
      <c r="N13" s="290"/>
      <c r="O13" s="290"/>
      <c r="P13" s="290"/>
      <c r="Q13" s="290"/>
      <c r="R13" s="290"/>
      <c r="S13" s="290"/>
      <c r="T13" s="290"/>
      <c r="U13" s="290"/>
      <c r="V13" s="290"/>
      <c r="W13" s="290"/>
      <c r="X13" s="290"/>
      <c r="Y13" s="290"/>
      <c r="Z13" s="290"/>
      <c r="AA13" s="290"/>
      <c r="AB13" s="290"/>
      <c r="AC13" s="290"/>
      <c r="AD13" s="290"/>
      <c r="AE13" s="290"/>
      <c r="AF13" s="290"/>
      <c r="AG13" s="290"/>
      <c r="AH13" s="290"/>
    </row>
    <row r="14" spans="1:34">
      <c r="A14" s="287"/>
      <c r="B14" s="287"/>
      <c r="C14" s="287"/>
      <c r="D14" s="287"/>
      <c r="E14" s="287"/>
      <c r="F14" s="287"/>
      <c r="G14" s="287"/>
      <c r="H14" s="287"/>
      <c r="I14" s="290"/>
      <c r="J14" s="290"/>
      <c r="K14" s="290"/>
      <c r="L14" s="290"/>
      <c r="M14" s="290"/>
      <c r="N14" s="290"/>
      <c r="O14" s="290"/>
      <c r="P14" s="290"/>
      <c r="Q14" s="290"/>
      <c r="R14" s="290"/>
      <c r="S14" s="290"/>
      <c r="T14" s="290"/>
      <c r="U14" s="290"/>
      <c r="V14" s="290"/>
      <c r="W14" s="290"/>
      <c r="X14" s="290"/>
      <c r="Y14" s="290"/>
      <c r="Z14" s="290"/>
      <c r="AA14" s="290"/>
      <c r="AB14" s="290"/>
      <c r="AC14" s="290"/>
      <c r="AD14" s="290"/>
      <c r="AE14" s="290"/>
      <c r="AF14" s="290"/>
      <c r="AG14" s="290"/>
      <c r="AH14" s="290"/>
    </row>
    <row r="15" spans="1:34">
      <c r="A15" s="287"/>
      <c r="B15" s="287"/>
      <c r="C15" s="287"/>
      <c r="D15" s="287"/>
      <c r="E15" s="287"/>
      <c r="F15" s="287"/>
      <c r="G15" s="287"/>
      <c r="H15" s="287"/>
      <c r="I15" s="290"/>
      <c r="J15" s="290"/>
      <c r="K15" s="290"/>
      <c r="L15" s="290"/>
      <c r="M15" s="290"/>
      <c r="N15" s="290"/>
      <c r="O15" s="290"/>
      <c r="P15" s="290"/>
      <c r="Q15" s="290"/>
      <c r="R15" s="290"/>
      <c r="S15" s="290"/>
      <c r="T15" s="290"/>
      <c r="U15" s="290"/>
      <c r="V15" s="290"/>
      <c r="W15" s="290"/>
      <c r="X15" s="290"/>
      <c r="Y15" s="290"/>
      <c r="Z15" s="290"/>
      <c r="AA15" s="290"/>
      <c r="AB15" s="290"/>
      <c r="AC15" s="290"/>
      <c r="AD15" s="290"/>
      <c r="AE15" s="290"/>
      <c r="AF15" s="290"/>
      <c r="AG15" s="290"/>
      <c r="AH15" s="290"/>
    </row>
    <row r="16" spans="1:34">
      <c r="A16" s="287"/>
      <c r="B16" s="287"/>
      <c r="C16" s="287"/>
      <c r="D16" s="287"/>
      <c r="E16" s="287"/>
      <c r="F16" s="287"/>
      <c r="G16" s="287"/>
      <c r="H16" s="287"/>
      <c r="I16" s="290"/>
      <c r="J16" s="290"/>
      <c r="K16" s="290"/>
      <c r="L16" s="290"/>
      <c r="M16" s="290"/>
      <c r="N16" s="290"/>
      <c r="O16" s="290"/>
      <c r="P16" s="290"/>
      <c r="Q16" s="290"/>
      <c r="R16" s="290"/>
      <c r="S16" s="290"/>
      <c r="T16" s="290"/>
      <c r="U16" s="290"/>
      <c r="V16" s="290"/>
      <c r="W16" s="290"/>
      <c r="X16" s="290"/>
      <c r="Y16" s="290"/>
      <c r="Z16" s="290"/>
      <c r="AA16" s="290"/>
      <c r="AB16" s="290"/>
      <c r="AC16" s="290"/>
      <c r="AD16" s="290"/>
      <c r="AE16" s="290"/>
      <c r="AF16" s="290"/>
      <c r="AG16" s="290"/>
      <c r="AH16" s="290"/>
    </row>
    <row r="17" spans="1:34">
      <c r="A17" s="287"/>
      <c r="B17" s="287"/>
      <c r="C17" s="287"/>
      <c r="D17" s="287"/>
      <c r="E17" s="287"/>
      <c r="F17" s="287"/>
      <c r="G17" s="287"/>
      <c r="H17" s="287"/>
      <c r="I17" s="290"/>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row>
    <row r="18" spans="1:34">
      <c r="A18" s="287"/>
      <c r="B18" s="287"/>
      <c r="C18" s="287"/>
      <c r="D18" s="287"/>
      <c r="E18" s="287"/>
      <c r="F18" s="287"/>
      <c r="G18" s="287"/>
      <c r="H18" s="287"/>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row>
    <row r="19" spans="1:34">
      <c r="A19" s="287"/>
      <c r="B19" s="287"/>
      <c r="C19" s="287"/>
      <c r="D19" s="287"/>
      <c r="E19" s="287"/>
      <c r="F19" s="287"/>
      <c r="G19" s="287"/>
      <c r="H19" s="287"/>
      <c r="I19" s="290"/>
      <c r="J19" s="290"/>
      <c r="K19" s="290"/>
      <c r="L19" s="290"/>
      <c r="M19" s="290"/>
      <c r="N19" s="290"/>
      <c r="O19" s="290"/>
      <c r="P19" s="290"/>
      <c r="Q19" s="290"/>
      <c r="R19" s="290"/>
      <c r="S19" s="290"/>
      <c r="T19" s="290"/>
      <c r="U19" s="290"/>
      <c r="V19" s="290"/>
      <c r="W19" s="290"/>
      <c r="X19" s="290"/>
      <c r="Y19" s="290"/>
      <c r="Z19" s="290"/>
      <c r="AA19" s="290"/>
      <c r="AB19" s="290"/>
      <c r="AC19" s="290"/>
      <c r="AD19" s="290"/>
      <c r="AE19" s="290"/>
      <c r="AF19" s="290"/>
      <c r="AG19" s="290"/>
      <c r="AH19" s="290"/>
    </row>
    <row r="20" spans="1:34">
      <c r="A20" s="287"/>
      <c r="B20" s="287"/>
      <c r="C20" s="287"/>
      <c r="D20" s="287"/>
      <c r="E20" s="287"/>
      <c r="F20" s="287"/>
      <c r="G20" s="287"/>
      <c r="H20" s="287"/>
      <c r="I20" s="290"/>
      <c r="J20" s="290"/>
      <c r="K20" s="290"/>
      <c r="L20" s="290"/>
      <c r="M20" s="290"/>
      <c r="N20" s="290"/>
      <c r="O20" s="290"/>
      <c r="P20" s="290"/>
      <c r="Q20" s="290"/>
      <c r="R20" s="290"/>
      <c r="S20" s="290"/>
      <c r="T20" s="290"/>
      <c r="U20" s="290"/>
      <c r="V20" s="290"/>
      <c r="W20" s="290"/>
      <c r="X20" s="290"/>
      <c r="Y20" s="290"/>
      <c r="Z20" s="290"/>
      <c r="AA20" s="290"/>
      <c r="AB20" s="290"/>
      <c r="AC20" s="290"/>
      <c r="AD20" s="290"/>
      <c r="AE20" s="290"/>
      <c r="AF20" s="290"/>
      <c r="AG20" s="290"/>
      <c r="AH20" s="290"/>
    </row>
    <row r="21" spans="1:34">
      <c r="A21" s="287"/>
      <c r="B21" s="287"/>
      <c r="C21" s="287"/>
      <c r="D21" s="287"/>
      <c r="E21" s="287"/>
      <c r="F21" s="287"/>
      <c r="G21" s="287"/>
      <c r="H21" s="287"/>
      <c r="I21" s="290"/>
      <c r="J21" s="290"/>
      <c r="K21" s="290"/>
      <c r="L21" s="290"/>
      <c r="M21" s="290"/>
      <c r="N21" s="290"/>
      <c r="O21" s="290"/>
      <c r="P21" s="290"/>
      <c r="Q21" s="290"/>
      <c r="R21" s="290"/>
      <c r="S21" s="290"/>
      <c r="T21" s="290"/>
      <c r="U21" s="290"/>
      <c r="V21" s="290"/>
      <c r="W21" s="290"/>
      <c r="X21" s="290"/>
      <c r="Y21" s="290"/>
      <c r="Z21" s="290"/>
      <c r="AA21" s="290"/>
      <c r="AB21" s="290"/>
      <c r="AC21" s="290"/>
      <c r="AD21" s="290"/>
      <c r="AE21" s="290"/>
      <c r="AF21" s="290"/>
      <c r="AG21" s="290"/>
      <c r="AH21" s="290"/>
    </row>
    <row r="22" spans="1:34">
      <c r="A22" s="287"/>
      <c r="B22" s="287"/>
      <c r="C22" s="287"/>
      <c r="D22" s="287"/>
      <c r="E22" s="287"/>
      <c r="F22" s="287"/>
      <c r="G22" s="287"/>
      <c r="H22" s="287"/>
      <c r="I22" s="290"/>
      <c r="J22" s="290"/>
      <c r="K22" s="290"/>
      <c r="L22" s="290"/>
      <c r="M22" s="290"/>
      <c r="N22" s="290"/>
      <c r="O22" s="290"/>
      <c r="P22" s="290"/>
      <c r="Q22" s="290"/>
      <c r="R22" s="290"/>
      <c r="S22" s="290"/>
      <c r="T22" s="290"/>
      <c r="U22" s="290"/>
      <c r="V22" s="290"/>
      <c r="W22" s="290"/>
      <c r="X22" s="290"/>
      <c r="Y22" s="290"/>
      <c r="Z22" s="290"/>
      <c r="AA22" s="290"/>
      <c r="AB22" s="290"/>
      <c r="AC22" s="290"/>
      <c r="AD22" s="290"/>
      <c r="AE22" s="290"/>
      <c r="AF22" s="290"/>
      <c r="AG22" s="290"/>
      <c r="AH22" s="290"/>
    </row>
    <row r="23" spans="1:34">
      <c r="A23" s="288"/>
      <c r="B23" s="288"/>
      <c r="C23" s="288"/>
      <c r="D23" s="288"/>
      <c r="E23" s="288"/>
      <c r="F23" s="288"/>
      <c r="G23" s="288"/>
      <c r="H23" s="288"/>
      <c r="I23" s="290"/>
      <c r="J23" s="290"/>
      <c r="K23" s="290"/>
      <c r="L23" s="290"/>
      <c r="M23" s="290"/>
      <c r="N23" s="290"/>
      <c r="O23" s="290"/>
      <c r="P23" s="290"/>
      <c r="Q23" s="290"/>
      <c r="R23" s="290"/>
      <c r="S23" s="290"/>
      <c r="T23" s="290"/>
      <c r="U23" s="290"/>
      <c r="V23" s="290"/>
      <c r="W23" s="290"/>
      <c r="X23" s="290"/>
      <c r="Y23" s="290"/>
      <c r="Z23" s="290"/>
      <c r="AA23" s="290"/>
      <c r="AB23" s="290"/>
      <c r="AC23" s="290"/>
      <c r="AD23" s="290"/>
      <c r="AE23" s="290"/>
      <c r="AF23" s="290"/>
      <c r="AG23" s="290"/>
      <c r="AH23" s="290"/>
    </row>
    <row r="24" spans="1:34">
      <c r="A24" s="288"/>
      <c r="B24" s="288"/>
      <c r="C24" s="288"/>
      <c r="D24" s="288"/>
      <c r="E24" s="288"/>
      <c r="F24" s="288"/>
      <c r="G24" s="288"/>
      <c r="H24" s="288"/>
      <c r="I24" s="290"/>
      <c r="J24" s="290"/>
      <c r="K24" s="290"/>
      <c r="L24" s="290"/>
      <c r="M24" s="290"/>
      <c r="N24" s="290"/>
      <c r="O24" s="290"/>
      <c r="P24" s="290"/>
      <c r="Q24" s="290"/>
      <c r="R24" s="290"/>
      <c r="S24" s="290"/>
      <c r="T24" s="290"/>
      <c r="U24" s="290"/>
      <c r="V24" s="290"/>
      <c r="W24" s="290"/>
      <c r="X24" s="290"/>
      <c r="Y24" s="290"/>
      <c r="Z24" s="290"/>
      <c r="AA24" s="290"/>
      <c r="AB24" s="290"/>
      <c r="AC24" s="290"/>
      <c r="AD24" s="290"/>
      <c r="AE24" s="290"/>
      <c r="AF24" s="290"/>
      <c r="AG24" s="290"/>
      <c r="AH24" s="290"/>
    </row>
    <row r="25" spans="1:34">
      <c r="A25" s="288"/>
      <c r="B25" s="288"/>
      <c r="C25" s="288"/>
      <c r="D25" s="288"/>
      <c r="E25" s="288"/>
      <c r="F25" s="288"/>
      <c r="G25" s="288"/>
      <c r="H25" s="288"/>
      <c r="I25" s="290"/>
      <c r="J25" s="290"/>
      <c r="K25" s="290"/>
      <c r="L25" s="290"/>
      <c r="M25" s="290"/>
      <c r="N25" s="290"/>
      <c r="O25" s="290"/>
      <c r="P25" s="290"/>
      <c r="Q25" s="290"/>
      <c r="R25" s="290"/>
      <c r="S25" s="290"/>
      <c r="T25" s="290"/>
      <c r="U25" s="290"/>
      <c r="V25" s="290"/>
      <c r="W25" s="290"/>
      <c r="X25" s="290"/>
      <c r="Y25" s="290"/>
      <c r="Z25" s="290"/>
      <c r="AA25" s="290"/>
      <c r="AB25" s="290"/>
      <c r="AC25" s="290"/>
      <c r="AD25" s="290"/>
      <c r="AE25" s="290"/>
      <c r="AF25" s="290"/>
      <c r="AG25" s="290"/>
      <c r="AH25" s="290"/>
    </row>
    <row r="26" spans="1:34">
      <c r="A26" s="288"/>
      <c r="B26" s="288"/>
      <c r="C26" s="288"/>
      <c r="D26" s="288"/>
      <c r="E26" s="288"/>
      <c r="F26" s="288"/>
      <c r="G26" s="288"/>
      <c r="H26" s="288"/>
      <c r="I26" s="290"/>
      <c r="J26" s="290"/>
      <c r="K26" s="290"/>
      <c r="L26" s="290"/>
      <c r="M26" s="290"/>
      <c r="N26" s="290"/>
      <c r="O26" s="290"/>
      <c r="P26" s="290"/>
      <c r="Q26" s="290"/>
      <c r="R26" s="290"/>
      <c r="S26" s="290"/>
      <c r="T26" s="290"/>
      <c r="U26" s="290"/>
      <c r="V26" s="290"/>
      <c r="W26" s="290"/>
      <c r="X26" s="290"/>
      <c r="Y26" s="290"/>
      <c r="Z26" s="290"/>
      <c r="AA26" s="290"/>
      <c r="AB26" s="290"/>
      <c r="AC26" s="290"/>
      <c r="AD26" s="290"/>
      <c r="AE26" s="290"/>
      <c r="AF26" s="290"/>
      <c r="AG26" s="290"/>
      <c r="AH26" s="290"/>
    </row>
    <row r="27" spans="1:34">
      <c r="A27" s="288"/>
      <c r="B27" s="288"/>
      <c r="C27" s="288"/>
      <c r="D27" s="288"/>
      <c r="E27" s="288"/>
      <c r="F27" s="288"/>
      <c r="G27" s="288"/>
      <c r="H27" s="288"/>
      <c r="I27" s="290"/>
      <c r="J27" s="290"/>
      <c r="K27" s="290"/>
      <c r="L27" s="290"/>
      <c r="M27" s="290"/>
      <c r="N27" s="290"/>
      <c r="O27" s="290"/>
      <c r="P27" s="290"/>
      <c r="Q27" s="290"/>
      <c r="R27" s="290"/>
      <c r="S27" s="290"/>
      <c r="T27" s="290"/>
      <c r="U27" s="290"/>
      <c r="V27" s="290"/>
      <c r="W27" s="290"/>
      <c r="X27" s="290"/>
      <c r="Y27" s="290"/>
      <c r="Z27" s="290"/>
      <c r="AA27" s="290"/>
      <c r="AB27" s="290"/>
      <c r="AC27" s="290"/>
      <c r="AD27" s="290"/>
      <c r="AE27" s="290"/>
      <c r="AF27" s="290"/>
      <c r="AG27" s="290"/>
      <c r="AH27" s="290"/>
    </row>
    <row r="28" spans="1:34">
      <c r="A28" s="288"/>
      <c r="B28" s="288"/>
      <c r="C28" s="288"/>
      <c r="D28" s="288"/>
      <c r="E28" s="288"/>
      <c r="F28" s="288"/>
      <c r="G28" s="288"/>
      <c r="H28" s="288"/>
      <c r="I28" s="290"/>
      <c r="J28" s="290"/>
      <c r="K28" s="290"/>
      <c r="L28" s="290"/>
      <c r="M28" s="290"/>
      <c r="N28" s="290"/>
      <c r="O28" s="290"/>
      <c r="P28" s="290"/>
      <c r="Q28" s="290"/>
      <c r="R28" s="290"/>
      <c r="S28" s="290"/>
      <c r="T28" s="290"/>
      <c r="U28" s="290"/>
      <c r="V28" s="290"/>
      <c r="W28" s="290"/>
      <c r="X28" s="290"/>
      <c r="Y28" s="290"/>
      <c r="Z28" s="290"/>
      <c r="AA28" s="290"/>
      <c r="AB28" s="290"/>
      <c r="AC28" s="290"/>
      <c r="AD28" s="290"/>
      <c r="AE28" s="290"/>
      <c r="AF28" s="290"/>
      <c r="AG28" s="290"/>
      <c r="AH28" s="290"/>
    </row>
    <row r="29" spans="1:34">
      <c r="A29" s="288"/>
      <c r="B29" s="288"/>
      <c r="C29" s="288"/>
      <c r="D29" s="288"/>
      <c r="E29" s="288"/>
      <c r="F29" s="288"/>
      <c r="G29" s="288"/>
      <c r="H29" s="288"/>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290"/>
      <c r="AH29" s="290"/>
    </row>
    <row r="30" spans="1:34">
      <c r="A30" s="288"/>
      <c r="B30" s="288"/>
      <c r="C30" s="288"/>
      <c r="D30" s="288"/>
      <c r="E30" s="288"/>
      <c r="F30" s="288"/>
      <c r="G30" s="288"/>
      <c r="H30" s="288"/>
      <c r="I30" s="290"/>
      <c r="J30" s="290"/>
      <c r="K30" s="290"/>
      <c r="L30" s="290"/>
      <c r="M30" s="290"/>
      <c r="N30" s="290"/>
      <c r="O30" s="290"/>
      <c r="P30" s="290"/>
      <c r="Q30" s="290"/>
      <c r="R30" s="290"/>
      <c r="S30" s="290"/>
      <c r="T30" s="290"/>
      <c r="U30" s="290"/>
      <c r="V30" s="290"/>
      <c r="W30" s="290"/>
      <c r="X30" s="290"/>
      <c r="Y30" s="290"/>
      <c r="Z30" s="290"/>
      <c r="AA30" s="290"/>
      <c r="AB30" s="290"/>
      <c r="AC30" s="290"/>
      <c r="AD30" s="290"/>
      <c r="AE30" s="290"/>
      <c r="AF30" s="290"/>
      <c r="AG30" s="290"/>
      <c r="AH30" s="290"/>
    </row>
    <row r="31" spans="1:34">
      <c r="A31" s="288"/>
      <c r="B31" s="288"/>
      <c r="C31" s="288"/>
      <c r="D31" s="288"/>
      <c r="E31" s="288"/>
      <c r="F31" s="288"/>
      <c r="G31" s="288"/>
      <c r="H31" s="288"/>
      <c r="I31" s="290"/>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row>
    <row r="32" spans="1:34">
      <c r="A32" s="288"/>
      <c r="B32" s="288"/>
      <c r="C32" s="288"/>
      <c r="D32" s="288"/>
      <c r="E32" s="288"/>
      <c r="F32" s="288"/>
      <c r="G32" s="288"/>
      <c r="H32" s="288"/>
      <c r="I32" s="290"/>
      <c r="J32" s="290"/>
      <c r="K32" s="290"/>
      <c r="L32" s="290"/>
      <c r="M32" s="290"/>
      <c r="N32" s="290"/>
      <c r="O32" s="290"/>
      <c r="P32" s="290"/>
      <c r="Q32" s="290"/>
      <c r="R32" s="290"/>
      <c r="S32" s="290"/>
      <c r="T32" s="290"/>
      <c r="U32" s="290"/>
      <c r="V32" s="290"/>
      <c r="W32" s="290"/>
      <c r="X32" s="290"/>
      <c r="Y32" s="290"/>
      <c r="Z32" s="290"/>
      <c r="AA32" s="290"/>
      <c r="AB32" s="290"/>
      <c r="AC32" s="290"/>
      <c r="AD32" s="290"/>
      <c r="AE32" s="290"/>
      <c r="AF32" s="290"/>
      <c r="AG32" s="290"/>
      <c r="AH32" s="290"/>
    </row>
    <row r="33" spans="1:34">
      <c r="A33" s="289"/>
      <c r="B33" s="289"/>
      <c r="C33" s="289"/>
      <c r="D33" s="289"/>
      <c r="E33" s="289"/>
      <c r="F33" s="289"/>
      <c r="G33" s="289"/>
      <c r="H33" s="289"/>
      <c r="I33" s="290"/>
      <c r="J33" s="290"/>
      <c r="K33" s="290"/>
      <c r="L33" s="290"/>
      <c r="M33" s="290"/>
      <c r="N33" s="290"/>
      <c r="O33" s="290"/>
      <c r="P33" s="290"/>
      <c r="Q33" s="290"/>
      <c r="R33" s="290"/>
      <c r="S33" s="290"/>
      <c r="T33" s="290"/>
      <c r="U33" s="290"/>
      <c r="V33" s="290"/>
      <c r="W33" s="290"/>
      <c r="X33" s="290"/>
      <c r="Y33" s="290"/>
      <c r="Z33" s="290"/>
      <c r="AA33" s="290"/>
      <c r="AB33" s="290"/>
      <c r="AC33" s="290"/>
      <c r="AD33" s="290"/>
      <c r="AE33" s="290"/>
      <c r="AF33" s="290"/>
      <c r="AG33" s="290"/>
      <c r="AH33" s="290"/>
    </row>
    <row r="34" spans="1:34">
      <c r="A34" s="289"/>
      <c r="B34" s="289"/>
      <c r="C34" s="289"/>
      <c r="D34" s="289"/>
      <c r="E34" s="289"/>
      <c r="F34" s="289"/>
      <c r="G34" s="289"/>
      <c r="H34" s="289"/>
      <c r="I34" s="290"/>
      <c r="J34" s="290"/>
      <c r="K34" s="290"/>
      <c r="L34" s="290"/>
      <c r="M34" s="290"/>
      <c r="N34" s="290"/>
      <c r="O34" s="290"/>
      <c r="P34" s="290"/>
      <c r="Q34" s="290"/>
      <c r="R34" s="290"/>
      <c r="S34" s="290"/>
      <c r="T34" s="290"/>
      <c r="U34" s="290"/>
      <c r="V34" s="290"/>
      <c r="W34" s="290"/>
      <c r="X34" s="290"/>
      <c r="Y34" s="290"/>
      <c r="Z34" s="290"/>
      <c r="AA34" s="290"/>
      <c r="AB34" s="290"/>
      <c r="AC34" s="290"/>
      <c r="AD34" s="290"/>
      <c r="AE34" s="290"/>
      <c r="AF34" s="290"/>
      <c r="AG34" s="290"/>
      <c r="AH34" s="290"/>
    </row>
    <row r="35" spans="1:34">
      <c r="A35" s="289"/>
      <c r="B35" s="289"/>
      <c r="C35" s="289"/>
      <c r="D35" s="289"/>
      <c r="E35" s="289"/>
      <c r="F35" s="289"/>
      <c r="G35" s="289"/>
      <c r="H35" s="289"/>
      <c r="I35" s="290"/>
      <c r="J35" s="290"/>
      <c r="K35" s="290"/>
      <c r="L35" s="290"/>
      <c r="M35" s="290"/>
      <c r="N35" s="290"/>
      <c r="O35" s="290"/>
      <c r="P35" s="290"/>
      <c r="Q35" s="290"/>
      <c r="R35" s="290"/>
      <c r="S35" s="290"/>
      <c r="T35" s="290"/>
      <c r="U35" s="290"/>
      <c r="V35" s="290"/>
      <c r="W35" s="290"/>
      <c r="X35" s="290"/>
      <c r="Y35" s="290"/>
      <c r="Z35" s="290"/>
      <c r="AA35" s="290"/>
      <c r="AB35" s="290"/>
      <c r="AC35" s="290"/>
      <c r="AD35" s="290"/>
      <c r="AE35" s="290"/>
      <c r="AF35" s="290"/>
      <c r="AG35" s="290"/>
      <c r="AH35" s="290"/>
    </row>
    <row r="36" spans="1:34">
      <c r="A36" s="289"/>
      <c r="B36" s="289"/>
      <c r="C36" s="289"/>
      <c r="D36" s="289"/>
      <c r="E36" s="289"/>
      <c r="F36" s="289"/>
      <c r="G36" s="289"/>
      <c r="H36" s="289"/>
      <c r="I36" s="290"/>
      <c r="J36" s="290"/>
      <c r="K36" s="290"/>
      <c r="L36" s="290"/>
      <c r="M36" s="290"/>
      <c r="N36" s="290"/>
      <c r="O36" s="290"/>
      <c r="P36" s="290"/>
      <c r="Q36" s="290"/>
      <c r="R36" s="290"/>
      <c r="S36" s="290"/>
      <c r="T36" s="290"/>
      <c r="U36" s="290"/>
      <c r="V36" s="290"/>
      <c r="W36" s="290"/>
      <c r="X36" s="290"/>
      <c r="Y36" s="290"/>
      <c r="Z36" s="290"/>
      <c r="AA36" s="290"/>
      <c r="AB36" s="290"/>
      <c r="AC36" s="290"/>
      <c r="AD36" s="290"/>
      <c r="AE36" s="290"/>
      <c r="AF36" s="290"/>
      <c r="AG36" s="290"/>
      <c r="AH36" s="290"/>
    </row>
    <row r="37" spans="1:34">
      <c r="A37" s="289"/>
      <c r="B37" s="289"/>
      <c r="C37" s="289"/>
      <c r="D37" s="289"/>
      <c r="E37" s="289"/>
      <c r="F37" s="289"/>
      <c r="G37" s="289"/>
      <c r="H37" s="289"/>
      <c r="I37" s="290"/>
      <c r="J37" s="290"/>
      <c r="K37" s="290"/>
      <c r="L37" s="290"/>
      <c r="M37" s="290"/>
      <c r="N37" s="290"/>
      <c r="O37" s="290"/>
      <c r="P37" s="290"/>
      <c r="Q37" s="290"/>
      <c r="R37" s="290"/>
      <c r="S37" s="290"/>
      <c r="T37" s="290"/>
      <c r="U37" s="290"/>
      <c r="V37" s="290"/>
      <c r="W37" s="290"/>
      <c r="X37" s="290"/>
      <c r="Y37" s="290"/>
      <c r="Z37" s="290"/>
      <c r="AA37" s="290"/>
      <c r="AB37" s="290"/>
      <c r="AC37" s="290"/>
      <c r="AD37" s="290"/>
      <c r="AE37" s="290"/>
      <c r="AF37" s="290"/>
      <c r="AG37" s="290"/>
      <c r="AH37" s="290"/>
    </row>
    <row r="38" spans="1:34">
      <c r="A38" s="289"/>
      <c r="B38" s="289"/>
      <c r="C38" s="289"/>
      <c r="D38" s="289"/>
      <c r="E38" s="289"/>
      <c r="F38" s="289"/>
      <c r="G38" s="289"/>
      <c r="H38" s="289"/>
      <c r="I38" s="290"/>
      <c r="J38" s="290"/>
      <c r="K38" s="290"/>
      <c r="L38" s="290"/>
      <c r="M38" s="290"/>
      <c r="N38" s="290"/>
      <c r="O38" s="290"/>
      <c r="P38" s="290"/>
      <c r="Q38" s="290"/>
      <c r="R38" s="290"/>
      <c r="S38" s="290"/>
      <c r="T38" s="290"/>
      <c r="U38" s="290"/>
      <c r="V38" s="290"/>
      <c r="W38" s="290"/>
      <c r="X38" s="290"/>
      <c r="Y38" s="290"/>
      <c r="Z38" s="290"/>
      <c r="AA38" s="290"/>
      <c r="AB38" s="290"/>
      <c r="AC38" s="290"/>
      <c r="AD38" s="290"/>
      <c r="AE38" s="290"/>
      <c r="AF38" s="290"/>
      <c r="AG38" s="290"/>
      <c r="AH38" s="290"/>
    </row>
    <row r="39" spans="1:34">
      <c r="A39" s="289"/>
      <c r="B39" s="289"/>
      <c r="C39" s="289"/>
      <c r="D39" s="289"/>
      <c r="E39" s="289"/>
      <c r="F39" s="289"/>
      <c r="G39" s="289"/>
      <c r="H39" s="289"/>
      <c r="I39" s="290"/>
      <c r="J39" s="290"/>
      <c r="K39" s="290"/>
      <c r="L39" s="290"/>
      <c r="M39" s="290"/>
      <c r="N39" s="290"/>
      <c r="O39" s="290"/>
      <c r="P39" s="290"/>
      <c r="Q39" s="290"/>
      <c r="R39" s="290"/>
      <c r="S39" s="290"/>
      <c r="T39" s="290"/>
      <c r="U39" s="290"/>
      <c r="V39" s="290"/>
      <c r="W39" s="290"/>
      <c r="X39" s="290"/>
      <c r="Y39" s="290"/>
      <c r="Z39" s="290"/>
      <c r="AA39" s="290"/>
      <c r="AB39" s="290"/>
      <c r="AC39" s="290"/>
      <c r="AD39" s="290"/>
      <c r="AE39" s="290"/>
      <c r="AF39" s="290"/>
      <c r="AG39" s="290"/>
      <c r="AH39" s="290"/>
    </row>
    <row r="40" spans="1:34">
      <c r="A40" s="289"/>
      <c r="B40" s="289"/>
      <c r="C40" s="289"/>
      <c r="D40" s="289"/>
      <c r="E40" s="289"/>
      <c r="F40" s="289"/>
      <c r="G40" s="289"/>
      <c r="H40" s="289"/>
      <c r="I40" s="290"/>
      <c r="J40" s="290"/>
      <c r="K40" s="290"/>
      <c r="L40" s="290"/>
      <c r="M40" s="290"/>
      <c r="N40" s="290"/>
      <c r="O40" s="290"/>
      <c r="P40" s="290"/>
      <c r="Q40" s="290"/>
      <c r="R40" s="290"/>
      <c r="S40" s="290"/>
      <c r="T40" s="290"/>
      <c r="U40" s="290"/>
      <c r="V40" s="290"/>
      <c r="W40" s="290"/>
      <c r="X40" s="290"/>
      <c r="Y40" s="290"/>
      <c r="Z40" s="290"/>
      <c r="AA40" s="290"/>
      <c r="AB40" s="290"/>
      <c r="AC40" s="290"/>
      <c r="AD40" s="290"/>
      <c r="AE40" s="290"/>
      <c r="AF40" s="290"/>
      <c r="AG40" s="290"/>
      <c r="AH40" s="290"/>
    </row>
    <row r="41" spans="1:34">
      <c r="A41" s="289"/>
      <c r="B41" s="289"/>
      <c r="C41" s="289"/>
      <c r="D41" s="289"/>
      <c r="E41" s="289"/>
      <c r="F41" s="289"/>
      <c r="G41" s="289"/>
      <c r="H41" s="289"/>
      <c r="I41" s="290"/>
      <c r="J41" s="290"/>
      <c r="K41" s="290"/>
      <c r="L41" s="290"/>
      <c r="M41" s="290"/>
      <c r="N41" s="290"/>
      <c r="O41" s="290"/>
      <c r="P41" s="290"/>
      <c r="Q41" s="290"/>
      <c r="R41" s="290"/>
      <c r="S41" s="290"/>
      <c r="T41" s="290"/>
      <c r="U41" s="290"/>
      <c r="V41" s="290"/>
      <c r="W41" s="290"/>
      <c r="X41" s="290"/>
      <c r="Y41" s="290"/>
      <c r="Z41" s="290"/>
      <c r="AA41" s="290"/>
      <c r="AB41" s="290"/>
      <c r="AC41" s="290"/>
      <c r="AD41" s="290"/>
      <c r="AE41" s="290"/>
      <c r="AF41" s="290"/>
      <c r="AG41" s="290"/>
      <c r="AH41" s="290"/>
    </row>
    <row r="42" spans="1:34">
      <c r="A42" s="289"/>
      <c r="B42" s="289"/>
      <c r="C42" s="289"/>
      <c r="D42" s="289"/>
      <c r="E42" s="289"/>
      <c r="F42" s="289"/>
      <c r="G42" s="289"/>
      <c r="H42" s="289"/>
      <c r="I42" s="290"/>
      <c r="J42" s="290"/>
      <c r="K42" s="290"/>
      <c r="L42" s="290"/>
      <c r="M42" s="290"/>
      <c r="N42" s="290"/>
      <c r="O42" s="290"/>
      <c r="P42" s="290"/>
      <c r="Q42" s="290"/>
      <c r="R42" s="290"/>
      <c r="S42" s="290"/>
      <c r="T42" s="290"/>
      <c r="U42" s="290"/>
      <c r="V42" s="290"/>
      <c r="W42" s="290"/>
      <c r="X42" s="290"/>
      <c r="Y42" s="290"/>
      <c r="Z42" s="290"/>
      <c r="AA42" s="290"/>
      <c r="AB42" s="290"/>
      <c r="AC42" s="290"/>
      <c r="AD42" s="290"/>
      <c r="AE42" s="290"/>
      <c r="AF42" s="290"/>
      <c r="AG42" s="290"/>
      <c r="AH42" s="290"/>
    </row>
    <row r="43" spans="1:34">
      <c r="A43" s="289"/>
      <c r="B43" s="289"/>
      <c r="C43" s="289"/>
      <c r="D43" s="289"/>
      <c r="E43" s="289"/>
      <c r="F43" s="289"/>
      <c r="G43" s="289"/>
      <c r="H43" s="289"/>
      <c r="I43" s="290"/>
      <c r="J43" s="290"/>
      <c r="K43" s="290"/>
      <c r="L43" s="290"/>
      <c r="M43" s="290"/>
      <c r="N43" s="290"/>
      <c r="O43" s="290"/>
      <c r="P43" s="290"/>
      <c r="Q43" s="290"/>
      <c r="R43" s="290"/>
      <c r="S43" s="290"/>
      <c r="T43" s="290"/>
      <c r="U43" s="290"/>
      <c r="V43" s="290"/>
      <c r="W43" s="290"/>
      <c r="X43" s="290"/>
      <c r="Y43" s="290"/>
      <c r="Z43" s="290"/>
      <c r="AA43" s="290"/>
      <c r="AB43" s="290"/>
      <c r="AC43" s="290"/>
      <c r="AD43" s="290"/>
      <c r="AE43" s="290"/>
      <c r="AF43" s="290"/>
      <c r="AG43" s="290"/>
      <c r="AH43" s="290"/>
    </row>
    <row r="44" spans="1:34">
      <c r="A44" s="289"/>
      <c r="B44" s="289"/>
      <c r="C44" s="289"/>
      <c r="D44" s="289"/>
      <c r="E44" s="289"/>
      <c r="F44" s="289"/>
      <c r="G44" s="289"/>
      <c r="H44" s="289"/>
      <c r="I44" s="290"/>
      <c r="J44" s="290"/>
      <c r="K44" s="290"/>
      <c r="L44" s="290"/>
      <c r="M44" s="290"/>
      <c r="N44" s="290"/>
      <c r="O44" s="290"/>
      <c r="P44" s="290"/>
      <c r="Q44" s="290"/>
      <c r="R44" s="290"/>
      <c r="S44" s="290"/>
      <c r="T44" s="290"/>
      <c r="U44" s="290"/>
      <c r="V44" s="290"/>
      <c r="W44" s="290"/>
      <c r="X44" s="290"/>
      <c r="Y44" s="290"/>
      <c r="Z44" s="290"/>
      <c r="AA44" s="290"/>
      <c r="AB44" s="290"/>
      <c r="AC44" s="290"/>
      <c r="AD44" s="290"/>
      <c r="AE44" s="290"/>
      <c r="AF44" s="290"/>
      <c r="AG44" s="290"/>
      <c r="AH44" s="290"/>
    </row>
    <row r="45" spans="1:34">
      <c r="A45" s="289"/>
      <c r="B45" s="289"/>
      <c r="C45" s="289"/>
      <c r="D45" s="289"/>
      <c r="E45" s="289"/>
      <c r="F45" s="289"/>
      <c r="G45" s="289"/>
      <c r="H45" s="289"/>
      <c r="I45" s="290"/>
      <c r="J45" s="290"/>
      <c r="K45" s="290"/>
      <c r="L45" s="290"/>
      <c r="M45" s="290"/>
      <c r="N45" s="290"/>
      <c r="O45" s="290"/>
      <c r="P45" s="290"/>
      <c r="Q45" s="290"/>
      <c r="R45" s="290"/>
      <c r="S45" s="290"/>
      <c r="T45" s="290"/>
      <c r="U45" s="290"/>
      <c r="V45" s="290"/>
      <c r="W45" s="290"/>
      <c r="X45" s="290"/>
      <c r="Y45" s="290"/>
      <c r="Z45" s="290"/>
      <c r="AA45" s="290"/>
      <c r="AB45" s="290"/>
      <c r="AC45" s="290"/>
      <c r="AD45" s="290"/>
      <c r="AE45" s="290"/>
      <c r="AF45" s="290"/>
      <c r="AG45" s="290"/>
      <c r="AH45" s="290"/>
    </row>
    <row r="46" spans="1:34">
      <c r="A46" s="289"/>
      <c r="B46" s="289"/>
      <c r="C46" s="289"/>
      <c r="D46" s="289"/>
      <c r="E46" s="289"/>
      <c r="F46" s="289"/>
      <c r="G46" s="289"/>
      <c r="H46" s="289"/>
      <c r="I46" s="290"/>
      <c r="J46" s="290"/>
      <c r="K46" s="290"/>
      <c r="L46" s="290"/>
      <c r="M46" s="290"/>
      <c r="N46" s="290"/>
      <c r="O46" s="290"/>
      <c r="P46" s="290"/>
      <c r="Q46" s="290"/>
      <c r="R46" s="290"/>
      <c r="S46" s="290"/>
      <c r="T46" s="290"/>
      <c r="U46" s="290"/>
      <c r="V46" s="290"/>
      <c r="W46" s="290"/>
      <c r="X46" s="290"/>
      <c r="Y46" s="290"/>
      <c r="Z46" s="290"/>
      <c r="AA46" s="290"/>
      <c r="AB46" s="290"/>
      <c r="AC46" s="290"/>
      <c r="AD46" s="290"/>
      <c r="AE46" s="290"/>
      <c r="AF46" s="290"/>
      <c r="AG46" s="290"/>
      <c r="AH46" s="290"/>
    </row>
    <row r="47" spans="1:34">
      <c r="A47" s="289"/>
      <c r="B47" s="289"/>
      <c r="C47" s="289"/>
      <c r="D47" s="289"/>
      <c r="E47" s="289"/>
      <c r="F47" s="289"/>
      <c r="G47" s="289"/>
      <c r="H47" s="289"/>
      <c r="I47" s="290"/>
      <c r="J47" s="290"/>
      <c r="K47" s="290"/>
      <c r="L47" s="290"/>
      <c r="M47" s="290"/>
      <c r="N47" s="290"/>
      <c r="O47" s="290"/>
      <c r="P47" s="290"/>
      <c r="Q47" s="290"/>
      <c r="R47" s="290"/>
      <c r="S47" s="290"/>
      <c r="T47" s="290"/>
      <c r="U47" s="290"/>
      <c r="V47" s="290"/>
      <c r="W47" s="290"/>
      <c r="X47" s="290"/>
      <c r="Y47" s="290"/>
      <c r="Z47" s="290"/>
      <c r="AA47" s="290"/>
      <c r="AB47" s="290"/>
      <c r="AC47" s="290"/>
      <c r="AD47" s="290"/>
      <c r="AE47" s="290"/>
      <c r="AF47" s="290"/>
      <c r="AG47" s="290"/>
      <c r="AH47" s="290"/>
    </row>
    <row r="48" spans="1:34">
      <c r="A48" s="289"/>
      <c r="B48" s="289"/>
      <c r="C48" s="289"/>
      <c r="D48" s="289"/>
      <c r="E48" s="289"/>
      <c r="F48" s="289"/>
      <c r="G48" s="289"/>
      <c r="H48" s="289"/>
      <c r="I48" s="290"/>
      <c r="J48" s="290"/>
      <c r="K48" s="290"/>
      <c r="L48" s="290"/>
      <c r="M48" s="290"/>
      <c r="N48" s="290"/>
      <c r="O48" s="290"/>
      <c r="P48" s="290"/>
      <c r="Q48" s="290"/>
      <c r="R48" s="290"/>
      <c r="S48" s="290"/>
      <c r="T48" s="290"/>
      <c r="U48" s="290"/>
      <c r="V48" s="290"/>
      <c r="W48" s="290"/>
      <c r="X48" s="290"/>
      <c r="Y48" s="290"/>
      <c r="Z48" s="290"/>
      <c r="AA48" s="290"/>
      <c r="AB48" s="290"/>
      <c r="AC48" s="290"/>
      <c r="AD48" s="290"/>
      <c r="AE48" s="290"/>
      <c r="AF48" s="290"/>
      <c r="AG48" s="290"/>
      <c r="AH48" s="290"/>
    </row>
    <row r="49" spans="1:34">
      <c r="A49" s="288"/>
      <c r="B49" s="288"/>
      <c r="C49" s="288"/>
      <c r="D49" s="288"/>
      <c r="E49" s="288"/>
      <c r="F49" s="288"/>
      <c r="G49" s="288"/>
      <c r="H49" s="288"/>
      <c r="I49" s="290"/>
      <c r="J49" s="290"/>
      <c r="K49" s="290"/>
      <c r="L49" s="290"/>
      <c r="M49" s="290"/>
      <c r="N49" s="290"/>
      <c r="O49" s="290"/>
      <c r="P49" s="290"/>
      <c r="Q49" s="290"/>
      <c r="R49" s="290"/>
      <c r="S49" s="290"/>
      <c r="T49" s="290"/>
      <c r="U49" s="290"/>
      <c r="V49" s="290"/>
      <c r="W49" s="290"/>
      <c r="X49" s="290"/>
      <c r="Y49" s="290"/>
      <c r="Z49" s="290"/>
      <c r="AA49" s="290"/>
      <c r="AB49" s="290"/>
      <c r="AC49" s="290"/>
      <c r="AD49" s="290"/>
      <c r="AE49" s="290"/>
      <c r="AF49" s="290"/>
      <c r="AG49" s="290"/>
      <c r="AH49" s="290"/>
    </row>
    <row r="50" spans="1:34">
      <c r="A50" s="288"/>
      <c r="B50" s="288"/>
      <c r="C50" s="288"/>
      <c r="D50" s="288"/>
      <c r="E50" s="288"/>
      <c r="F50" s="288"/>
      <c r="G50" s="288"/>
      <c r="H50" s="288"/>
      <c r="I50" s="290"/>
      <c r="J50" s="290"/>
      <c r="K50" s="290"/>
      <c r="L50" s="290"/>
      <c r="M50" s="290"/>
      <c r="N50" s="290"/>
      <c r="O50" s="290"/>
      <c r="P50" s="290"/>
      <c r="Q50" s="290"/>
      <c r="R50" s="290"/>
      <c r="S50" s="290"/>
      <c r="T50" s="290"/>
      <c r="U50" s="290"/>
      <c r="V50" s="290"/>
      <c r="W50" s="290"/>
      <c r="X50" s="290"/>
      <c r="Y50" s="290"/>
      <c r="Z50" s="290"/>
      <c r="AA50" s="290"/>
      <c r="AB50" s="290"/>
      <c r="AC50" s="290"/>
      <c r="AD50" s="290"/>
      <c r="AE50" s="290"/>
      <c r="AF50" s="290"/>
      <c r="AG50" s="290"/>
      <c r="AH50" s="290"/>
    </row>
    <row r="51" spans="1:34">
      <c r="A51" s="288"/>
      <c r="B51" s="288"/>
      <c r="C51" s="288"/>
      <c r="D51" s="288"/>
      <c r="E51" s="288"/>
      <c r="F51" s="288"/>
      <c r="G51" s="288"/>
      <c r="H51" s="288"/>
      <c r="I51" s="290"/>
      <c r="J51" s="290"/>
      <c r="K51" s="290"/>
      <c r="L51" s="290"/>
      <c r="M51" s="290"/>
      <c r="N51" s="290"/>
      <c r="O51" s="290"/>
      <c r="P51" s="290"/>
      <c r="Q51" s="290"/>
      <c r="R51" s="290"/>
      <c r="S51" s="290"/>
      <c r="T51" s="290"/>
      <c r="U51" s="290"/>
      <c r="V51" s="290"/>
      <c r="W51" s="290"/>
      <c r="X51" s="290"/>
      <c r="Y51" s="290"/>
      <c r="Z51" s="290"/>
      <c r="AA51" s="290"/>
      <c r="AB51" s="290"/>
      <c r="AC51" s="290"/>
      <c r="AD51" s="290"/>
      <c r="AE51" s="290"/>
      <c r="AF51" s="290"/>
      <c r="AG51" s="290"/>
      <c r="AH51" s="290"/>
    </row>
    <row r="52" spans="1:34">
      <c r="A52" s="288"/>
      <c r="B52" s="288"/>
      <c r="C52" s="288"/>
      <c r="D52" s="288"/>
      <c r="E52" s="288"/>
      <c r="F52" s="288"/>
      <c r="G52" s="288"/>
      <c r="H52" s="288"/>
      <c r="I52" s="290"/>
      <c r="J52" s="290"/>
      <c r="K52" s="290"/>
      <c r="L52" s="290"/>
      <c r="M52" s="290"/>
      <c r="N52" s="290"/>
      <c r="O52" s="290"/>
      <c r="P52" s="290"/>
      <c r="Q52" s="290"/>
      <c r="R52" s="290"/>
      <c r="S52" s="290"/>
      <c r="T52" s="290"/>
      <c r="U52" s="290"/>
      <c r="V52" s="290"/>
      <c r="W52" s="290"/>
      <c r="X52" s="290"/>
      <c r="Y52" s="290"/>
      <c r="Z52" s="290"/>
      <c r="AA52" s="290"/>
      <c r="AB52" s="290"/>
      <c r="AC52" s="290"/>
      <c r="AD52" s="290"/>
      <c r="AE52" s="290"/>
      <c r="AF52" s="290"/>
      <c r="AG52" s="290"/>
      <c r="AH52" s="290"/>
    </row>
    <row r="53" spans="1:34">
      <c r="A53" s="288"/>
      <c r="B53" s="288"/>
      <c r="C53" s="288"/>
      <c r="D53" s="288"/>
      <c r="E53" s="288"/>
      <c r="F53" s="288"/>
      <c r="G53" s="288"/>
      <c r="H53" s="288"/>
      <c r="I53" s="290"/>
      <c r="J53" s="290"/>
      <c r="K53" s="290"/>
      <c r="L53" s="290"/>
      <c r="M53" s="290"/>
      <c r="N53" s="290"/>
      <c r="O53" s="290"/>
      <c r="P53" s="290"/>
      <c r="Q53" s="290"/>
      <c r="R53" s="290"/>
      <c r="S53" s="290"/>
      <c r="T53" s="290"/>
      <c r="U53" s="290"/>
      <c r="V53" s="290"/>
      <c r="W53" s="290"/>
      <c r="X53" s="290"/>
      <c r="Y53" s="290"/>
      <c r="Z53" s="290"/>
      <c r="AA53" s="290"/>
      <c r="AB53" s="290"/>
      <c r="AC53" s="290"/>
      <c r="AD53" s="290"/>
      <c r="AE53" s="290"/>
      <c r="AF53" s="290"/>
      <c r="AG53" s="290"/>
      <c r="AH53" s="290"/>
    </row>
    <row r="54" spans="1:34">
      <c r="A54" s="288"/>
      <c r="B54" s="288"/>
      <c r="C54" s="288"/>
      <c r="D54" s="288"/>
      <c r="E54" s="288"/>
      <c r="F54" s="288"/>
      <c r="G54" s="288"/>
      <c r="H54" s="288"/>
      <c r="I54" s="290"/>
      <c r="J54" s="290"/>
      <c r="K54" s="290"/>
      <c r="L54" s="290"/>
      <c r="M54" s="290"/>
      <c r="N54" s="290"/>
      <c r="O54" s="290"/>
      <c r="P54" s="290"/>
      <c r="Q54" s="290"/>
      <c r="R54" s="290"/>
      <c r="S54" s="290"/>
      <c r="T54" s="290"/>
      <c r="U54" s="290"/>
      <c r="V54" s="290"/>
      <c r="W54" s="290"/>
      <c r="X54" s="290"/>
      <c r="Y54" s="290"/>
      <c r="Z54" s="290"/>
      <c r="AA54" s="290"/>
      <c r="AB54" s="290"/>
      <c r="AC54" s="290"/>
      <c r="AD54" s="290"/>
      <c r="AE54" s="290"/>
      <c r="AF54" s="290"/>
      <c r="AG54" s="290"/>
      <c r="AH54" s="290"/>
    </row>
    <row r="55" spans="1:34">
      <c r="A55" s="288"/>
      <c r="B55" s="288"/>
      <c r="C55" s="288"/>
      <c r="D55" s="288"/>
      <c r="E55" s="288"/>
      <c r="F55" s="288"/>
      <c r="G55" s="288"/>
      <c r="H55" s="288"/>
      <c r="I55" s="290"/>
      <c r="J55" s="290"/>
      <c r="K55" s="290"/>
      <c r="L55" s="290"/>
      <c r="M55" s="290"/>
      <c r="N55" s="290"/>
      <c r="O55" s="290"/>
      <c r="P55" s="290"/>
      <c r="Q55" s="290"/>
      <c r="R55" s="290"/>
      <c r="S55" s="290"/>
      <c r="T55" s="290"/>
      <c r="U55" s="290"/>
      <c r="V55" s="290"/>
      <c r="W55" s="290"/>
      <c r="X55" s="290"/>
      <c r="Y55" s="290"/>
      <c r="Z55" s="290"/>
      <c r="AA55" s="290"/>
      <c r="AB55" s="290"/>
      <c r="AC55" s="290"/>
      <c r="AD55" s="290"/>
      <c r="AE55" s="290"/>
      <c r="AF55" s="290"/>
      <c r="AG55" s="290"/>
      <c r="AH55" s="290"/>
    </row>
    <row r="56" spans="1:34">
      <c r="A56" s="288"/>
      <c r="B56" s="288"/>
      <c r="C56" s="288"/>
      <c r="D56" s="288"/>
      <c r="E56" s="288"/>
      <c r="F56" s="288"/>
      <c r="G56" s="288"/>
      <c r="H56" s="288"/>
      <c r="I56" s="290"/>
      <c r="J56" s="290"/>
      <c r="K56" s="290"/>
      <c r="L56" s="290"/>
      <c r="M56" s="290"/>
      <c r="N56" s="290"/>
      <c r="O56" s="290"/>
      <c r="P56" s="290"/>
      <c r="Q56" s="290"/>
      <c r="R56" s="290"/>
      <c r="S56" s="290"/>
      <c r="T56" s="290"/>
      <c r="U56" s="290"/>
      <c r="V56" s="290"/>
      <c r="W56" s="290"/>
      <c r="X56" s="290"/>
      <c r="Y56" s="290"/>
      <c r="Z56" s="290"/>
      <c r="AA56" s="290"/>
      <c r="AB56" s="290"/>
      <c r="AC56" s="290"/>
      <c r="AD56" s="290"/>
      <c r="AE56" s="290"/>
      <c r="AF56" s="290"/>
      <c r="AG56" s="290"/>
      <c r="AH56" s="290"/>
    </row>
    <row r="57" spans="1:34">
      <c r="A57" s="290"/>
      <c r="B57" s="290"/>
      <c r="C57" s="290"/>
      <c r="D57" s="290"/>
      <c r="E57" s="290"/>
      <c r="F57" s="290"/>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0"/>
      <c r="AE57" s="290"/>
      <c r="AF57" s="290"/>
      <c r="AG57" s="290"/>
      <c r="AH57" s="290"/>
    </row>
    <row r="58" spans="1:34">
      <c r="A58" s="290"/>
      <c r="B58" s="290"/>
      <c r="C58" s="290"/>
      <c r="D58" s="290"/>
      <c r="E58" s="290"/>
      <c r="F58" s="290"/>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0"/>
      <c r="AE58" s="290"/>
      <c r="AF58" s="290"/>
      <c r="AG58" s="290"/>
      <c r="AH58" s="290"/>
    </row>
    <row r="59" spans="1:34">
      <c r="A59" s="290"/>
      <c r="B59" s="290"/>
      <c r="C59" s="290"/>
      <c r="D59" s="290"/>
      <c r="E59" s="290"/>
      <c r="F59" s="290"/>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0"/>
      <c r="AE59" s="290"/>
      <c r="AF59" s="290"/>
      <c r="AG59" s="290"/>
      <c r="AH59" s="290"/>
    </row>
    <row r="60" spans="1:34">
      <c r="A60" s="290"/>
      <c r="B60" s="290"/>
      <c r="C60" s="290"/>
      <c r="D60" s="290"/>
      <c r="E60" s="290"/>
      <c r="F60" s="290"/>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0"/>
      <c r="AE60" s="290"/>
      <c r="AF60" s="290"/>
      <c r="AG60" s="290"/>
      <c r="AH60" s="290"/>
    </row>
    <row r="61" spans="1:34">
      <c r="A61" s="290"/>
      <c r="B61" s="290"/>
      <c r="C61" s="290"/>
      <c r="D61" s="290"/>
      <c r="E61" s="290"/>
      <c r="F61" s="290"/>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0"/>
      <c r="AE61" s="290"/>
      <c r="AF61" s="290"/>
      <c r="AG61" s="290"/>
      <c r="AH61" s="290"/>
    </row>
    <row r="62" spans="1:34">
      <c r="A62" s="290"/>
      <c r="B62" s="290"/>
      <c r="C62" s="290"/>
      <c r="D62" s="290"/>
      <c r="E62" s="290"/>
      <c r="F62" s="290"/>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0"/>
      <c r="AE62" s="290"/>
      <c r="AF62" s="290"/>
      <c r="AG62" s="290"/>
      <c r="AH62" s="290"/>
    </row>
    <row r="63" spans="1:34">
      <c r="A63" s="290"/>
      <c r="B63" s="290"/>
      <c r="C63" s="290"/>
      <c r="D63" s="290"/>
      <c r="E63" s="290"/>
      <c r="F63" s="290"/>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0"/>
      <c r="AE63" s="290"/>
      <c r="AF63" s="290"/>
      <c r="AG63" s="290"/>
      <c r="AH63" s="290"/>
    </row>
    <row r="64" spans="1:34">
      <c r="A64" s="290"/>
      <c r="B64" s="290"/>
      <c r="C64" s="290"/>
      <c r="D64" s="290"/>
      <c r="E64" s="290"/>
      <c r="F64" s="290"/>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0"/>
      <c r="AE64" s="290"/>
      <c r="AF64" s="290"/>
      <c r="AG64" s="290"/>
      <c r="AH64" s="290"/>
    </row>
    <row r="65" spans="1:34">
      <c r="A65" s="290"/>
      <c r="B65" s="290"/>
      <c r="C65" s="290"/>
      <c r="D65" s="290"/>
      <c r="E65" s="290"/>
      <c r="F65" s="290"/>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0"/>
      <c r="AE65" s="290"/>
      <c r="AF65" s="290"/>
      <c r="AG65" s="290"/>
      <c r="AH65" s="290"/>
    </row>
    <row r="66" spans="1:34">
      <c r="A66" s="290"/>
      <c r="B66" s="290"/>
      <c r="C66" s="290"/>
      <c r="D66" s="290"/>
      <c r="E66" s="290"/>
      <c r="F66" s="290"/>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0"/>
      <c r="AE66" s="290"/>
      <c r="AF66" s="290"/>
      <c r="AG66" s="290"/>
      <c r="AH66" s="290"/>
    </row>
    <row r="67" spans="1:34">
      <c r="A67" s="290"/>
      <c r="B67" s="290"/>
      <c r="C67" s="290"/>
      <c r="D67" s="290"/>
      <c r="E67" s="290"/>
      <c r="F67" s="290"/>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0"/>
      <c r="AE67" s="290"/>
      <c r="AF67" s="290"/>
      <c r="AG67" s="290"/>
      <c r="AH67" s="290"/>
    </row>
    <row r="68" spans="1:34">
      <c r="A68" s="290"/>
      <c r="B68" s="290"/>
      <c r="C68" s="290"/>
      <c r="D68" s="290"/>
      <c r="E68" s="290"/>
      <c r="F68" s="290"/>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0"/>
      <c r="AE68" s="290"/>
      <c r="AF68" s="290"/>
      <c r="AG68" s="290"/>
      <c r="AH68" s="290"/>
    </row>
    <row r="69" spans="1:34">
      <c r="A69" s="290"/>
      <c r="B69" s="290"/>
      <c r="C69" s="290"/>
      <c r="D69" s="290"/>
      <c r="E69" s="290"/>
      <c r="F69" s="290"/>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0"/>
      <c r="AE69" s="290"/>
      <c r="AF69" s="290"/>
      <c r="AG69" s="290"/>
      <c r="AH69" s="290"/>
    </row>
    <row r="70" spans="1:34">
      <c r="A70" s="290"/>
      <c r="B70" s="290"/>
      <c r="C70" s="290"/>
      <c r="D70" s="290"/>
      <c r="E70" s="290"/>
      <c r="F70" s="290"/>
      <c r="G70" s="290"/>
      <c r="H70" s="290"/>
      <c r="I70" s="290"/>
      <c r="J70" s="290"/>
      <c r="K70" s="290"/>
      <c r="L70" s="290"/>
      <c r="M70" s="290"/>
      <c r="N70" s="290"/>
      <c r="O70" s="290"/>
      <c r="P70" s="290"/>
      <c r="Q70" s="290"/>
      <c r="R70" s="290"/>
      <c r="S70" s="290"/>
      <c r="T70" s="290"/>
      <c r="U70" s="290"/>
      <c r="V70" s="290"/>
      <c r="W70" s="290"/>
      <c r="X70" s="290"/>
      <c r="Y70" s="290"/>
      <c r="Z70" s="290"/>
      <c r="AA70" s="290"/>
      <c r="AB70" s="290"/>
      <c r="AC70" s="290"/>
      <c r="AD70" s="290"/>
      <c r="AE70" s="290"/>
      <c r="AF70" s="290"/>
      <c r="AG70" s="290"/>
      <c r="AH70" s="290"/>
    </row>
    <row r="71" spans="1:34">
      <c r="A71" s="290"/>
      <c r="B71" s="290"/>
      <c r="C71" s="290"/>
      <c r="D71" s="290"/>
      <c r="E71" s="290"/>
      <c r="F71" s="290"/>
      <c r="G71" s="290"/>
      <c r="H71" s="290"/>
      <c r="I71" s="290"/>
      <c r="J71" s="290"/>
      <c r="K71" s="290"/>
      <c r="L71" s="290"/>
      <c r="M71" s="290"/>
      <c r="N71" s="290"/>
      <c r="O71" s="290"/>
      <c r="P71" s="290"/>
      <c r="Q71" s="290"/>
      <c r="R71" s="290"/>
      <c r="S71" s="290"/>
      <c r="T71" s="290"/>
      <c r="U71" s="290"/>
      <c r="V71" s="290"/>
      <c r="W71" s="290"/>
      <c r="X71" s="290"/>
      <c r="Y71" s="290"/>
      <c r="Z71" s="290"/>
      <c r="AA71" s="290"/>
      <c r="AB71" s="290"/>
      <c r="AC71" s="290"/>
      <c r="AD71" s="290"/>
      <c r="AE71" s="290"/>
      <c r="AF71" s="290"/>
      <c r="AG71" s="290"/>
      <c r="AH71" s="290"/>
    </row>
    <row r="72" spans="1:34">
      <c r="A72" s="290"/>
      <c r="B72" s="290"/>
      <c r="C72" s="290"/>
      <c r="D72" s="290"/>
      <c r="E72" s="290"/>
      <c r="F72" s="290"/>
      <c r="G72" s="290"/>
      <c r="H72" s="290"/>
      <c r="I72" s="290"/>
      <c r="J72" s="290"/>
      <c r="K72" s="290"/>
      <c r="L72" s="290"/>
      <c r="M72" s="290"/>
      <c r="N72" s="290"/>
      <c r="O72" s="290"/>
      <c r="P72" s="290"/>
      <c r="Q72" s="290"/>
      <c r="R72" s="290"/>
      <c r="S72" s="290"/>
      <c r="T72" s="290"/>
      <c r="U72" s="290"/>
      <c r="V72" s="290"/>
      <c r="W72" s="290"/>
      <c r="X72" s="290"/>
      <c r="Y72" s="290"/>
      <c r="Z72" s="290"/>
      <c r="AA72" s="290"/>
      <c r="AB72" s="290"/>
      <c r="AC72" s="290"/>
      <c r="AD72" s="290"/>
      <c r="AE72" s="290"/>
      <c r="AF72" s="290"/>
      <c r="AG72" s="290"/>
      <c r="AH72" s="290"/>
    </row>
    <row r="73" spans="1:34">
      <c r="A73" s="290"/>
      <c r="B73" s="290"/>
      <c r="C73" s="290"/>
      <c r="D73" s="290"/>
      <c r="E73" s="290"/>
      <c r="F73" s="290"/>
      <c r="G73" s="290"/>
      <c r="H73" s="290"/>
      <c r="I73" s="290"/>
      <c r="J73" s="290"/>
      <c r="K73" s="290"/>
      <c r="L73" s="290"/>
      <c r="M73" s="290"/>
      <c r="N73" s="290"/>
      <c r="O73" s="290"/>
      <c r="P73" s="290"/>
      <c r="Q73" s="290"/>
      <c r="R73" s="290"/>
      <c r="S73" s="290"/>
      <c r="T73" s="290"/>
      <c r="U73" s="290"/>
      <c r="V73" s="290"/>
      <c r="W73" s="290"/>
      <c r="X73" s="290"/>
      <c r="Y73" s="290"/>
      <c r="Z73" s="290"/>
      <c r="AA73" s="290"/>
      <c r="AB73" s="290"/>
      <c r="AC73" s="290"/>
      <c r="AD73" s="290"/>
      <c r="AE73" s="290"/>
      <c r="AF73" s="290"/>
      <c r="AG73" s="290"/>
      <c r="AH73" s="290"/>
    </row>
    <row r="74" spans="1:34">
      <c r="A74" s="290"/>
      <c r="B74" s="290"/>
      <c r="C74" s="290"/>
      <c r="D74" s="290"/>
      <c r="E74" s="290"/>
      <c r="F74" s="290"/>
      <c r="G74" s="290"/>
      <c r="H74" s="290"/>
      <c r="I74" s="290"/>
      <c r="J74" s="290"/>
      <c r="K74" s="290"/>
      <c r="L74" s="290"/>
      <c r="M74" s="290"/>
      <c r="N74" s="290"/>
      <c r="O74" s="290"/>
      <c r="P74" s="290"/>
      <c r="Q74" s="290"/>
      <c r="R74" s="290"/>
      <c r="S74" s="290"/>
      <c r="T74" s="290"/>
      <c r="U74" s="290"/>
      <c r="V74" s="290"/>
      <c r="W74" s="290"/>
      <c r="X74" s="290"/>
      <c r="Y74" s="290"/>
      <c r="Z74" s="290"/>
      <c r="AA74" s="290"/>
      <c r="AB74" s="290"/>
      <c r="AC74" s="290"/>
      <c r="AD74" s="290"/>
      <c r="AE74" s="290"/>
      <c r="AF74" s="290"/>
      <c r="AG74" s="290"/>
      <c r="AH74" s="290"/>
    </row>
    <row r="75" spans="1:34">
      <c r="A75" s="290"/>
      <c r="B75" s="290"/>
      <c r="C75" s="290"/>
      <c r="D75" s="290"/>
      <c r="E75" s="290"/>
      <c r="F75" s="290"/>
      <c r="G75" s="290"/>
      <c r="H75" s="290"/>
      <c r="I75" s="290"/>
      <c r="J75" s="290"/>
      <c r="K75" s="290"/>
      <c r="L75" s="290"/>
      <c r="M75" s="290"/>
      <c r="N75" s="290"/>
      <c r="O75" s="290"/>
      <c r="P75" s="290"/>
      <c r="Q75" s="290"/>
      <c r="R75" s="290"/>
      <c r="S75" s="290"/>
      <c r="T75" s="290"/>
      <c r="U75" s="290"/>
      <c r="V75" s="290"/>
      <c r="W75" s="290"/>
      <c r="X75" s="290"/>
      <c r="Y75" s="290"/>
      <c r="Z75" s="290"/>
      <c r="AA75" s="290"/>
      <c r="AB75" s="290"/>
      <c r="AC75" s="290"/>
      <c r="AD75" s="290"/>
      <c r="AE75" s="290"/>
      <c r="AF75" s="290"/>
      <c r="AG75" s="290"/>
      <c r="AH75" s="290"/>
    </row>
    <row r="76" spans="1:34">
      <c r="A76" s="290"/>
      <c r="B76" s="290"/>
      <c r="C76" s="290"/>
      <c r="D76" s="290"/>
      <c r="E76" s="290"/>
      <c r="F76" s="290"/>
      <c r="G76" s="290"/>
      <c r="H76" s="290"/>
      <c r="I76" s="290"/>
      <c r="J76" s="290"/>
      <c r="K76" s="290"/>
      <c r="L76" s="290"/>
      <c r="M76" s="290"/>
      <c r="N76" s="290"/>
      <c r="O76" s="290"/>
      <c r="P76" s="290"/>
      <c r="Q76" s="290"/>
      <c r="R76" s="290"/>
      <c r="S76" s="290"/>
      <c r="T76" s="290"/>
      <c r="U76" s="290"/>
      <c r="V76" s="290"/>
      <c r="W76" s="290"/>
      <c r="X76" s="290"/>
      <c r="Y76" s="290"/>
      <c r="Z76" s="290"/>
      <c r="AA76" s="290"/>
      <c r="AB76" s="290"/>
      <c r="AC76" s="290"/>
      <c r="AD76" s="290"/>
      <c r="AE76" s="290"/>
      <c r="AF76" s="290"/>
      <c r="AG76" s="290"/>
      <c r="AH76" s="290"/>
    </row>
    <row r="77" spans="1:34">
      <c r="A77" s="290"/>
      <c r="B77" s="290"/>
      <c r="C77" s="290"/>
      <c r="D77" s="290"/>
      <c r="E77" s="290"/>
      <c r="F77" s="290"/>
      <c r="G77" s="290"/>
      <c r="H77" s="290"/>
      <c r="I77" s="290"/>
      <c r="J77" s="290"/>
      <c r="K77" s="290"/>
      <c r="L77" s="290"/>
      <c r="M77" s="290"/>
      <c r="N77" s="290"/>
      <c r="O77" s="290"/>
      <c r="P77" s="290"/>
      <c r="Q77" s="290"/>
      <c r="R77" s="290"/>
      <c r="S77" s="290"/>
      <c r="T77" s="290"/>
      <c r="U77" s="290"/>
      <c r="V77" s="290"/>
      <c r="W77" s="290"/>
      <c r="X77" s="290"/>
      <c r="Y77" s="290"/>
      <c r="Z77" s="290"/>
      <c r="AA77" s="290"/>
      <c r="AB77" s="290"/>
      <c r="AC77" s="290"/>
      <c r="AD77" s="290"/>
      <c r="AE77" s="290"/>
      <c r="AF77" s="290"/>
      <c r="AG77" s="290"/>
      <c r="AH77" s="290"/>
    </row>
    <row r="78" spans="1:34">
      <c r="A78" s="290"/>
      <c r="B78" s="290"/>
      <c r="C78" s="290"/>
      <c r="D78" s="290"/>
      <c r="E78" s="290"/>
      <c r="F78" s="290"/>
      <c r="G78" s="290"/>
      <c r="H78" s="290"/>
      <c r="I78" s="290"/>
      <c r="J78" s="290"/>
      <c r="K78" s="290"/>
      <c r="L78" s="290"/>
      <c r="M78" s="290"/>
      <c r="N78" s="290"/>
      <c r="O78" s="290"/>
      <c r="P78" s="290"/>
      <c r="Q78" s="290"/>
      <c r="R78" s="290"/>
      <c r="S78" s="290"/>
      <c r="T78" s="290"/>
      <c r="U78" s="290"/>
      <c r="V78" s="290"/>
      <c r="W78" s="290"/>
      <c r="X78" s="290"/>
      <c r="Y78" s="290"/>
      <c r="Z78" s="290"/>
      <c r="AA78" s="290"/>
      <c r="AB78" s="290"/>
      <c r="AC78" s="290"/>
      <c r="AD78" s="290"/>
      <c r="AE78" s="290"/>
      <c r="AF78" s="290"/>
      <c r="AG78" s="290"/>
      <c r="AH78" s="290"/>
    </row>
    <row r="79" spans="1:34">
      <c r="A79" s="290"/>
      <c r="B79" s="290"/>
      <c r="C79" s="290"/>
      <c r="D79" s="290"/>
      <c r="E79" s="290"/>
      <c r="F79" s="290"/>
      <c r="G79" s="290"/>
      <c r="H79" s="290"/>
      <c r="I79" s="290"/>
      <c r="J79" s="290"/>
      <c r="K79" s="290"/>
      <c r="L79" s="290"/>
      <c r="M79" s="290"/>
      <c r="N79" s="290"/>
      <c r="O79" s="290"/>
      <c r="P79" s="290"/>
      <c r="Q79" s="290"/>
      <c r="R79" s="290"/>
      <c r="S79" s="290"/>
      <c r="T79" s="290"/>
      <c r="U79" s="290"/>
      <c r="V79" s="290"/>
      <c r="W79" s="290"/>
      <c r="X79" s="290"/>
      <c r="Y79" s="290"/>
      <c r="Z79" s="290"/>
      <c r="AA79" s="290"/>
      <c r="AB79" s="290"/>
      <c r="AC79" s="290"/>
      <c r="AD79" s="290"/>
      <c r="AE79" s="290"/>
      <c r="AF79" s="290"/>
      <c r="AG79" s="290"/>
      <c r="AH79" s="290"/>
    </row>
    <row r="80" spans="1:34">
      <c r="A80" s="290"/>
      <c r="B80" s="290"/>
      <c r="C80" s="290"/>
      <c r="D80" s="290"/>
      <c r="E80" s="290"/>
      <c r="F80" s="290"/>
      <c r="G80" s="290"/>
      <c r="H80" s="290"/>
      <c r="I80" s="290"/>
      <c r="J80" s="290"/>
      <c r="K80" s="290"/>
      <c r="L80" s="290"/>
      <c r="M80" s="290"/>
      <c r="N80" s="290"/>
      <c r="O80" s="290"/>
      <c r="P80" s="290"/>
      <c r="Q80" s="290"/>
      <c r="R80" s="290"/>
      <c r="S80" s="290"/>
      <c r="T80" s="290"/>
      <c r="U80" s="290"/>
      <c r="V80" s="290"/>
      <c r="W80" s="290"/>
      <c r="X80" s="290"/>
      <c r="Y80" s="290"/>
      <c r="Z80" s="290"/>
      <c r="AA80" s="290"/>
      <c r="AB80" s="290"/>
      <c r="AC80" s="290"/>
      <c r="AD80" s="290"/>
      <c r="AE80" s="290"/>
      <c r="AF80" s="290"/>
      <c r="AG80" s="290"/>
      <c r="AH80" s="290"/>
    </row>
    <row r="81" spans="1:34">
      <c r="A81" s="290"/>
      <c r="B81" s="290"/>
      <c r="C81" s="290"/>
      <c r="D81" s="290"/>
      <c r="E81" s="290"/>
      <c r="F81" s="290"/>
      <c r="G81" s="290"/>
      <c r="H81" s="290"/>
      <c r="I81" s="290"/>
      <c r="J81" s="290"/>
      <c r="K81" s="290"/>
      <c r="L81" s="290"/>
      <c r="M81" s="290"/>
      <c r="N81" s="290"/>
      <c r="O81" s="290"/>
      <c r="P81" s="290"/>
      <c r="Q81" s="290"/>
      <c r="R81" s="290"/>
      <c r="S81" s="290"/>
      <c r="T81" s="290"/>
      <c r="U81" s="290"/>
      <c r="V81" s="290"/>
      <c r="W81" s="290"/>
      <c r="X81" s="290"/>
      <c r="Y81" s="290"/>
      <c r="Z81" s="290"/>
      <c r="AA81" s="290"/>
      <c r="AB81" s="290"/>
      <c r="AC81" s="290"/>
      <c r="AD81" s="290"/>
      <c r="AE81" s="290"/>
      <c r="AF81" s="290"/>
      <c r="AG81" s="290"/>
      <c r="AH81" s="290"/>
    </row>
    <row r="82" spans="1:34">
      <c r="A82" s="290"/>
      <c r="B82" s="290"/>
      <c r="C82" s="290"/>
      <c r="D82" s="290"/>
      <c r="E82" s="290"/>
      <c r="F82" s="290"/>
      <c r="G82" s="290"/>
      <c r="H82" s="290"/>
      <c r="I82" s="290"/>
      <c r="J82" s="290"/>
      <c r="K82" s="290"/>
      <c r="L82" s="290"/>
      <c r="M82" s="290"/>
      <c r="N82" s="290"/>
      <c r="O82" s="290"/>
      <c r="P82" s="290"/>
      <c r="Q82" s="290"/>
      <c r="R82" s="290"/>
      <c r="S82" s="290"/>
      <c r="T82" s="290"/>
      <c r="U82" s="290"/>
      <c r="V82" s="290"/>
      <c r="W82" s="290"/>
      <c r="X82" s="290"/>
      <c r="Y82" s="290"/>
      <c r="Z82" s="290"/>
      <c r="AA82" s="290"/>
      <c r="AB82" s="290"/>
      <c r="AC82" s="290"/>
      <c r="AD82" s="290"/>
      <c r="AE82" s="290"/>
      <c r="AF82" s="290"/>
      <c r="AG82" s="290"/>
      <c r="AH82" s="290"/>
    </row>
    <row r="83" spans="1:34">
      <c r="A83" s="290"/>
      <c r="B83" s="290"/>
      <c r="C83" s="290"/>
      <c r="D83" s="290"/>
      <c r="E83" s="290"/>
      <c r="F83" s="290"/>
      <c r="G83" s="290"/>
      <c r="H83" s="290"/>
      <c r="I83" s="290"/>
      <c r="J83" s="290"/>
      <c r="K83" s="290"/>
      <c r="L83" s="290"/>
      <c r="M83" s="290"/>
      <c r="N83" s="290"/>
      <c r="O83" s="290"/>
      <c r="P83" s="290"/>
      <c r="Q83" s="290"/>
      <c r="R83" s="290"/>
      <c r="S83" s="290"/>
      <c r="T83" s="290"/>
      <c r="U83" s="290"/>
      <c r="V83" s="290"/>
      <c r="W83" s="290"/>
      <c r="X83" s="290"/>
      <c r="Y83" s="290"/>
      <c r="Z83" s="290"/>
      <c r="AA83" s="290"/>
      <c r="AB83" s="290"/>
      <c r="AC83" s="290"/>
      <c r="AD83" s="290"/>
      <c r="AE83" s="290"/>
      <c r="AF83" s="290"/>
      <c r="AG83" s="290"/>
      <c r="AH83" s="290"/>
    </row>
    <row r="84" spans="1:34">
      <c r="A84" s="290"/>
      <c r="B84" s="290"/>
      <c r="C84" s="290"/>
      <c r="D84" s="290"/>
      <c r="E84" s="290"/>
      <c r="F84" s="290"/>
      <c r="G84" s="290"/>
      <c r="H84" s="290"/>
      <c r="I84" s="290"/>
      <c r="J84" s="290"/>
      <c r="K84" s="290"/>
      <c r="L84" s="290"/>
      <c r="M84" s="290"/>
      <c r="N84" s="290"/>
      <c r="O84" s="290"/>
      <c r="P84" s="290"/>
      <c r="Q84" s="290"/>
      <c r="R84" s="290"/>
      <c r="S84" s="290"/>
      <c r="T84" s="290"/>
      <c r="U84" s="290"/>
      <c r="V84" s="290"/>
      <c r="W84" s="290"/>
      <c r="X84" s="290"/>
      <c r="Y84" s="290"/>
      <c r="Z84" s="290"/>
      <c r="AA84" s="290"/>
      <c r="AB84" s="290"/>
      <c r="AC84" s="290"/>
      <c r="AD84" s="290"/>
      <c r="AE84" s="290"/>
      <c r="AF84" s="290"/>
      <c r="AG84" s="290"/>
      <c r="AH84" s="290"/>
    </row>
    <row r="85" spans="1:34">
      <c r="A85" s="290"/>
      <c r="B85" s="290"/>
      <c r="C85" s="290"/>
      <c r="D85" s="290"/>
      <c r="E85" s="290"/>
      <c r="F85" s="290"/>
      <c r="G85" s="290"/>
      <c r="H85" s="290"/>
      <c r="I85" s="290"/>
      <c r="J85" s="290"/>
      <c r="K85" s="290"/>
      <c r="L85" s="290"/>
      <c r="M85" s="290"/>
      <c r="N85" s="290"/>
      <c r="O85" s="290"/>
      <c r="P85" s="290"/>
      <c r="Q85" s="290"/>
      <c r="R85" s="290"/>
      <c r="S85" s="290"/>
      <c r="T85" s="290"/>
      <c r="U85" s="290"/>
      <c r="V85" s="290"/>
      <c r="W85" s="290"/>
      <c r="X85" s="290"/>
      <c r="Y85" s="290"/>
      <c r="Z85" s="290"/>
      <c r="AA85" s="290"/>
      <c r="AB85" s="290"/>
      <c r="AC85" s="290"/>
      <c r="AD85" s="290"/>
      <c r="AE85" s="290"/>
      <c r="AF85" s="290"/>
      <c r="AG85" s="290"/>
      <c r="AH85" s="290"/>
    </row>
    <row r="86" spans="1:34">
      <c r="A86" s="290"/>
      <c r="B86" s="290"/>
      <c r="C86" s="290"/>
      <c r="D86" s="290"/>
      <c r="E86" s="290"/>
      <c r="F86" s="290"/>
      <c r="G86" s="290"/>
      <c r="H86" s="290"/>
      <c r="I86" s="29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row>
    <row r="87" spans="1:34">
      <c r="A87" s="290"/>
      <c r="B87" s="290"/>
      <c r="C87" s="290"/>
      <c r="D87" s="290"/>
      <c r="E87" s="290"/>
      <c r="F87" s="290"/>
      <c r="G87" s="290"/>
      <c r="H87" s="290"/>
      <c r="I87" s="290"/>
      <c r="J87" s="290"/>
      <c r="K87" s="290"/>
      <c r="L87" s="290"/>
      <c r="M87" s="290"/>
      <c r="N87" s="290"/>
      <c r="O87" s="290"/>
      <c r="P87" s="290"/>
      <c r="Q87" s="290"/>
      <c r="R87" s="290"/>
      <c r="S87" s="290"/>
      <c r="T87" s="290"/>
      <c r="U87" s="290"/>
      <c r="V87" s="290"/>
      <c r="W87" s="290"/>
      <c r="X87" s="290"/>
      <c r="Y87" s="290"/>
      <c r="Z87" s="290"/>
      <c r="AA87" s="290"/>
      <c r="AB87" s="290"/>
      <c r="AC87" s="290"/>
      <c r="AD87" s="290"/>
      <c r="AE87" s="290"/>
      <c r="AF87" s="290"/>
      <c r="AG87" s="290"/>
      <c r="AH87" s="290"/>
    </row>
    <row r="88" spans="1:34">
      <c r="A88" s="290"/>
      <c r="B88" s="290"/>
      <c r="C88" s="290"/>
      <c r="D88" s="290"/>
      <c r="E88" s="290"/>
      <c r="F88" s="290"/>
      <c r="G88" s="290"/>
      <c r="H88" s="290"/>
      <c r="I88" s="290"/>
      <c r="J88" s="290"/>
      <c r="K88" s="290"/>
      <c r="L88" s="290"/>
      <c r="M88" s="290"/>
      <c r="N88" s="290"/>
      <c r="O88" s="290"/>
      <c r="P88" s="290"/>
      <c r="Q88" s="290"/>
      <c r="R88" s="290"/>
      <c r="S88" s="290"/>
      <c r="T88" s="290"/>
      <c r="U88" s="290"/>
      <c r="V88" s="290"/>
      <c r="W88" s="290"/>
      <c r="X88" s="290"/>
      <c r="Y88" s="290"/>
      <c r="Z88" s="290"/>
      <c r="AA88" s="290"/>
      <c r="AB88" s="290"/>
      <c r="AC88" s="290"/>
      <c r="AD88" s="290"/>
      <c r="AE88" s="290"/>
      <c r="AF88" s="290"/>
      <c r="AG88" s="290"/>
      <c r="AH88" s="290"/>
    </row>
    <row r="89" spans="1:34">
      <c r="A89" s="290"/>
      <c r="B89" s="290"/>
      <c r="C89" s="290"/>
      <c r="D89" s="290"/>
      <c r="E89" s="290"/>
      <c r="F89" s="290"/>
      <c r="G89" s="290"/>
      <c r="H89" s="290"/>
      <c r="I89" s="290"/>
      <c r="J89" s="290"/>
      <c r="K89" s="290"/>
      <c r="L89" s="290"/>
      <c r="M89" s="290"/>
      <c r="N89" s="290"/>
      <c r="O89" s="290"/>
      <c r="P89" s="290"/>
      <c r="Q89" s="290"/>
      <c r="R89" s="290"/>
      <c r="S89" s="290"/>
      <c r="T89" s="290"/>
      <c r="U89" s="290"/>
      <c r="V89" s="290"/>
      <c r="W89" s="290"/>
      <c r="X89" s="290"/>
      <c r="Y89" s="290"/>
      <c r="Z89" s="290"/>
      <c r="AA89" s="290"/>
      <c r="AB89" s="290"/>
      <c r="AC89" s="290"/>
      <c r="AD89" s="290"/>
      <c r="AE89" s="290"/>
      <c r="AF89" s="290"/>
      <c r="AG89" s="290"/>
      <c r="AH89" s="290"/>
    </row>
    <row r="90" spans="1:34">
      <c r="A90" s="290"/>
      <c r="B90" s="290"/>
      <c r="C90" s="290"/>
      <c r="D90" s="290"/>
      <c r="E90" s="290"/>
      <c r="F90" s="290"/>
      <c r="G90" s="290"/>
      <c r="H90" s="290"/>
      <c r="I90" s="290"/>
      <c r="J90" s="290"/>
      <c r="K90" s="290"/>
      <c r="L90" s="290"/>
      <c r="M90" s="290"/>
      <c r="N90" s="290"/>
      <c r="O90" s="290"/>
      <c r="P90" s="290"/>
      <c r="Q90" s="290"/>
      <c r="R90" s="290"/>
      <c r="S90" s="290"/>
      <c r="T90" s="290"/>
      <c r="U90" s="290"/>
      <c r="V90" s="290"/>
      <c r="W90" s="290"/>
      <c r="X90" s="290"/>
      <c r="Y90" s="290"/>
      <c r="Z90" s="290"/>
      <c r="AA90" s="290"/>
      <c r="AB90" s="290"/>
      <c r="AC90" s="290"/>
      <c r="AD90" s="290"/>
      <c r="AE90" s="290"/>
      <c r="AF90" s="290"/>
      <c r="AG90" s="290"/>
      <c r="AH90" s="290"/>
    </row>
    <row r="91" spans="1:34">
      <c r="A91" s="290"/>
      <c r="B91" s="290"/>
      <c r="C91" s="290"/>
      <c r="D91" s="290"/>
      <c r="E91" s="290"/>
      <c r="F91" s="290"/>
      <c r="G91" s="290"/>
      <c r="H91" s="290"/>
      <c r="I91" s="290"/>
      <c r="J91" s="290"/>
      <c r="K91" s="290"/>
      <c r="L91" s="290"/>
      <c r="M91" s="290"/>
      <c r="N91" s="290"/>
      <c r="O91" s="290"/>
      <c r="P91" s="290"/>
      <c r="Q91" s="290"/>
      <c r="R91" s="290"/>
      <c r="S91" s="290"/>
      <c r="T91" s="290"/>
      <c r="U91" s="290"/>
      <c r="V91" s="290"/>
      <c r="W91" s="290"/>
      <c r="X91" s="290"/>
      <c r="Y91" s="290"/>
      <c r="Z91" s="290"/>
      <c r="AA91" s="290"/>
      <c r="AB91" s="290"/>
      <c r="AC91" s="290"/>
      <c r="AD91" s="290"/>
      <c r="AE91" s="290"/>
      <c r="AF91" s="290"/>
      <c r="AG91" s="290"/>
      <c r="AH91" s="290"/>
    </row>
    <row r="92" spans="1:34">
      <c r="A92" s="290"/>
      <c r="B92" s="290"/>
      <c r="C92" s="290"/>
      <c r="D92" s="290"/>
      <c r="E92" s="290"/>
      <c r="F92" s="290"/>
      <c r="G92" s="290"/>
      <c r="H92" s="290"/>
      <c r="I92" s="290"/>
      <c r="J92" s="290"/>
      <c r="K92" s="290"/>
      <c r="L92" s="290"/>
      <c r="M92" s="290"/>
      <c r="N92" s="290"/>
      <c r="O92" s="290"/>
      <c r="P92" s="290"/>
      <c r="Q92" s="290"/>
      <c r="R92" s="290"/>
      <c r="S92" s="290"/>
      <c r="T92" s="290"/>
      <c r="U92" s="290"/>
      <c r="V92" s="290"/>
      <c r="W92" s="290"/>
      <c r="X92" s="290"/>
      <c r="Y92" s="290"/>
      <c r="Z92" s="290"/>
      <c r="AA92" s="290"/>
      <c r="AB92" s="290"/>
      <c r="AC92" s="290"/>
      <c r="AD92" s="290"/>
      <c r="AE92" s="290"/>
      <c r="AF92" s="290"/>
      <c r="AG92" s="290"/>
      <c r="AH92" s="290"/>
    </row>
    <row r="93" spans="1:34">
      <c r="A93" s="290"/>
      <c r="B93" s="290"/>
      <c r="C93" s="290"/>
      <c r="D93" s="290"/>
      <c r="E93" s="290"/>
      <c r="F93" s="290"/>
      <c r="G93" s="290"/>
      <c r="H93" s="290"/>
      <c r="I93" s="290"/>
      <c r="J93" s="290"/>
      <c r="K93" s="290"/>
      <c r="L93" s="290"/>
      <c r="M93" s="290"/>
      <c r="N93" s="290"/>
      <c r="O93" s="290"/>
      <c r="P93" s="290"/>
      <c r="Q93" s="290"/>
      <c r="R93" s="290"/>
      <c r="S93" s="290"/>
      <c r="T93" s="290"/>
      <c r="U93" s="290"/>
      <c r="V93" s="290"/>
      <c r="W93" s="290"/>
      <c r="X93" s="290"/>
      <c r="Y93" s="290"/>
      <c r="Z93" s="290"/>
      <c r="AA93" s="290"/>
      <c r="AB93" s="290"/>
      <c r="AC93" s="290"/>
      <c r="AD93" s="290"/>
      <c r="AE93" s="290"/>
      <c r="AF93" s="290"/>
      <c r="AG93" s="290"/>
      <c r="AH93" s="290"/>
    </row>
    <row r="94" spans="1:34">
      <c r="A94" s="290"/>
      <c r="B94" s="290"/>
      <c r="C94" s="290"/>
      <c r="D94" s="290"/>
      <c r="E94" s="290"/>
      <c r="F94" s="290"/>
      <c r="G94" s="290"/>
      <c r="H94" s="290"/>
      <c r="I94" s="290"/>
      <c r="J94" s="290"/>
      <c r="K94" s="290"/>
      <c r="L94" s="290"/>
      <c r="M94" s="290"/>
      <c r="N94" s="290"/>
      <c r="O94" s="290"/>
      <c r="P94" s="290"/>
      <c r="Q94" s="290"/>
      <c r="R94" s="290"/>
      <c r="S94" s="290"/>
      <c r="T94" s="290"/>
      <c r="U94" s="290"/>
      <c r="V94" s="290"/>
      <c r="W94" s="290"/>
      <c r="X94" s="290"/>
      <c r="Y94" s="290"/>
      <c r="Z94" s="290"/>
      <c r="AA94" s="290"/>
      <c r="AB94" s="290"/>
      <c r="AC94" s="290"/>
      <c r="AD94" s="290"/>
      <c r="AE94" s="290"/>
      <c r="AF94" s="290"/>
      <c r="AG94" s="290"/>
      <c r="AH94" s="290"/>
    </row>
    <row r="95" spans="1:34">
      <c r="A95" s="290"/>
      <c r="B95" s="290"/>
      <c r="C95" s="290"/>
      <c r="D95" s="290"/>
      <c r="E95" s="290"/>
      <c r="F95" s="290"/>
      <c r="G95" s="290"/>
      <c r="H95" s="290"/>
      <c r="I95" s="290"/>
      <c r="J95" s="290"/>
      <c r="K95" s="290"/>
      <c r="L95" s="290"/>
      <c r="M95" s="290"/>
      <c r="N95" s="290"/>
      <c r="O95" s="290"/>
      <c r="P95" s="290"/>
      <c r="Q95" s="290"/>
      <c r="R95" s="290"/>
      <c r="S95" s="290"/>
      <c r="T95" s="290"/>
      <c r="U95" s="290"/>
      <c r="V95" s="290"/>
      <c r="W95" s="290"/>
      <c r="X95" s="290"/>
      <c r="Y95" s="290"/>
      <c r="Z95" s="290"/>
      <c r="AA95" s="290"/>
      <c r="AB95" s="290"/>
      <c r="AC95" s="290"/>
      <c r="AD95" s="290"/>
      <c r="AE95" s="290"/>
      <c r="AF95" s="290"/>
      <c r="AG95" s="290"/>
      <c r="AH95" s="290"/>
    </row>
    <row r="96" spans="1:34">
      <c r="A96" s="290"/>
      <c r="B96" s="290"/>
      <c r="C96" s="290"/>
      <c r="D96" s="290"/>
      <c r="E96" s="290"/>
      <c r="F96" s="290"/>
      <c r="G96" s="290"/>
      <c r="H96" s="290"/>
      <c r="I96" s="290"/>
      <c r="J96" s="290"/>
      <c r="K96" s="290"/>
      <c r="L96" s="290"/>
      <c r="M96" s="290"/>
      <c r="N96" s="290"/>
      <c r="O96" s="290"/>
      <c r="P96" s="290"/>
      <c r="Q96" s="290"/>
      <c r="R96" s="290"/>
      <c r="S96" s="290"/>
      <c r="T96" s="290"/>
      <c r="U96" s="290"/>
      <c r="V96" s="290"/>
      <c r="W96" s="290"/>
      <c r="X96" s="290"/>
      <c r="Y96" s="290"/>
      <c r="Z96" s="290"/>
      <c r="AA96" s="290"/>
      <c r="AB96" s="290"/>
      <c r="AC96" s="290"/>
      <c r="AD96" s="290"/>
      <c r="AE96" s="290"/>
      <c r="AF96" s="290"/>
      <c r="AG96" s="290"/>
      <c r="AH96" s="290"/>
    </row>
    <row r="97" spans="1:34">
      <c r="A97" s="290"/>
      <c r="B97" s="290"/>
      <c r="C97" s="290"/>
      <c r="D97" s="290"/>
      <c r="E97" s="290"/>
      <c r="F97" s="290"/>
      <c r="G97" s="290"/>
      <c r="H97" s="290"/>
      <c r="I97" s="290"/>
      <c r="J97" s="290"/>
      <c r="K97" s="290"/>
      <c r="L97" s="290"/>
      <c r="M97" s="290"/>
      <c r="N97" s="290"/>
      <c r="O97" s="290"/>
      <c r="P97" s="290"/>
      <c r="Q97" s="290"/>
      <c r="R97" s="290"/>
      <c r="S97" s="290"/>
      <c r="T97" s="290"/>
      <c r="U97" s="290"/>
      <c r="V97" s="290"/>
      <c r="W97" s="290"/>
      <c r="X97" s="290"/>
      <c r="Y97" s="290"/>
      <c r="Z97" s="290"/>
      <c r="AA97" s="290"/>
      <c r="AB97" s="290"/>
      <c r="AC97" s="290"/>
      <c r="AD97" s="290"/>
      <c r="AE97" s="290"/>
      <c r="AF97" s="290"/>
      <c r="AG97" s="290"/>
      <c r="AH97" s="290"/>
    </row>
    <row r="98" spans="1:34">
      <c r="A98" s="290"/>
      <c r="B98" s="290"/>
      <c r="C98" s="290"/>
      <c r="D98" s="290"/>
      <c r="E98" s="290"/>
      <c r="F98" s="290"/>
      <c r="G98" s="290"/>
      <c r="H98" s="290"/>
      <c r="I98" s="290"/>
      <c r="J98" s="290"/>
      <c r="K98" s="290"/>
      <c r="L98" s="290"/>
      <c r="M98" s="290"/>
      <c r="N98" s="290"/>
      <c r="O98" s="290"/>
      <c r="P98" s="290"/>
      <c r="Q98" s="290"/>
      <c r="R98" s="290"/>
      <c r="S98" s="290"/>
      <c r="T98" s="290"/>
      <c r="U98" s="290"/>
      <c r="V98" s="290"/>
      <c r="W98" s="290"/>
      <c r="X98" s="290"/>
      <c r="Y98" s="290"/>
      <c r="Z98" s="290"/>
      <c r="AA98" s="290"/>
      <c r="AB98" s="290"/>
      <c r="AC98" s="290"/>
      <c r="AD98" s="290"/>
      <c r="AE98" s="290"/>
      <c r="AF98" s="290"/>
      <c r="AG98" s="290"/>
      <c r="AH98" s="290"/>
    </row>
    <row r="99" spans="1:34">
      <c r="A99" s="290"/>
      <c r="B99" s="290"/>
      <c r="C99" s="290"/>
      <c r="D99" s="290"/>
      <c r="E99" s="290"/>
      <c r="F99" s="290"/>
      <c r="G99" s="290"/>
      <c r="H99" s="290"/>
      <c r="I99" s="290"/>
      <c r="J99" s="290"/>
      <c r="K99" s="290"/>
      <c r="L99" s="290"/>
      <c r="M99" s="290"/>
      <c r="N99" s="290"/>
      <c r="O99" s="290"/>
      <c r="P99" s="290"/>
      <c r="Q99" s="290"/>
      <c r="R99" s="290"/>
      <c r="S99" s="290"/>
      <c r="T99" s="290"/>
      <c r="U99" s="290"/>
      <c r="V99" s="290"/>
      <c r="W99" s="290"/>
      <c r="X99" s="290"/>
      <c r="Y99" s="290"/>
      <c r="Z99" s="290"/>
      <c r="AA99" s="290"/>
      <c r="AB99" s="290"/>
      <c r="AC99" s="290"/>
      <c r="AD99" s="290"/>
      <c r="AE99" s="290"/>
      <c r="AF99" s="290"/>
      <c r="AG99" s="290"/>
      <c r="AH99" s="290"/>
    </row>
    <row r="100" spans="1:34">
      <c r="A100" s="290"/>
      <c r="B100" s="290"/>
      <c r="C100" s="290"/>
      <c r="D100" s="290"/>
      <c r="E100" s="290"/>
      <c r="F100" s="290"/>
      <c r="G100" s="290"/>
      <c r="H100" s="290"/>
      <c r="I100" s="290"/>
      <c r="J100" s="290"/>
      <c r="K100" s="290"/>
      <c r="L100" s="290"/>
      <c r="M100" s="290"/>
      <c r="N100" s="290"/>
      <c r="O100" s="290"/>
      <c r="P100" s="290"/>
      <c r="Q100" s="290"/>
      <c r="R100" s="290"/>
      <c r="S100" s="290"/>
      <c r="T100" s="290"/>
      <c r="U100" s="290"/>
      <c r="V100" s="290"/>
      <c r="W100" s="290"/>
      <c r="X100" s="290"/>
      <c r="Y100" s="290"/>
      <c r="Z100" s="290"/>
      <c r="AA100" s="290"/>
      <c r="AB100" s="290"/>
      <c r="AC100" s="290"/>
      <c r="AD100" s="290"/>
      <c r="AE100" s="290"/>
      <c r="AF100" s="290"/>
      <c r="AG100" s="290"/>
      <c r="AH100" s="290"/>
    </row>
    <row r="101" spans="1:34">
      <c r="A101" s="290"/>
      <c r="B101" s="290"/>
      <c r="C101" s="290"/>
      <c r="D101" s="290"/>
      <c r="E101" s="290"/>
      <c r="F101" s="290"/>
      <c r="G101" s="290"/>
      <c r="H101" s="290"/>
      <c r="I101" s="290"/>
      <c r="J101" s="290"/>
      <c r="K101" s="290"/>
      <c r="L101" s="290"/>
      <c r="M101" s="290"/>
      <c r="N101" s="290"/>
      <c r="O101" s="290"/>
      <c r="P101" s="290"/>
      <c r="Q101" s="290"/>
      <c r="R101" s="290"/>
      <c r="S101" s="290"/>
      <c r="T101" s="290"/>
      <c r="U101" s="290"/>
      <c r="V101" s="290"/>
      <c r="W101" s="290"/>
      <c r="X101" s="290"/>
      <c r="Y101" s="290"/>
      <c r="Z101" s="290"/>
      <c r="AA101" s="290"/>
      <c r="AB101" s="290"/>
      <c r="AC101" s="290"/>
      <c r="AD101" s="290"/>
      <c r="AE101" s="290"/>
      <c r="AF101" s="290"/>
      <c r="AG101" s="290"/>
      <c r="AH101" s="290"/>
    </row>
    <row r="102" spans="1:34">
      <c r="A102" s="290"/>
      <c r="B102" s="290"/>
      <c r="C102" s="290"/>
      <c r="D102" s="290"/>
      <c r="E102" s="290"/>
      <c r="F102" s="290"/>
      <c r="G102" s="290"/>
      <c r="H102" s="290"/>
      <c r="I102" s="290"/>
      <c r="J102" s="290"/>
      <c r="K102" s="290"/>
      <c r="L102" s="290"/>
      <c r="M102" s="290"/>
      <c r="N102" s="290"/>
      <c r="O102" s="290"/>
      <c r="P102" s="290"/>
      <c r="Q102" s="290"/>
      <c r="R102" s="290"/>
      <c r="S102" s="290"/>
      <c r="T102" s="290"/>
      <c r="U102" s="290"/>
      <c r="V102" s="290"/>
      <c r="W102" s="290"/>
      <c r="X102" s="290"/>
      <c r="Y102" s="290"/>
      <c r="Z102" s="290"/>
      <c r="AA102" s="290"/>
      <c r="AB102" s="290"/>
      <c r="AC102" s="290"/>
      <c r="AD102" s="290"/>
      <c r="AE102" s="290"/>
      <c r="AF102" s="290"/>
      <c r="AG102" s="290"/>
      <c r="AH102" s="290"/>
    </row>
    <row r="103" spans="1:34">
      <c r="A103" s="290"/>
      <c r="B103" s="290"/>
      <c r="C103" s="290"/>
      <c r="D103" s="290"/>
      <c r="E103" s="290"/>
      <c r="F103" s="290"/>
      <c r="G103" s="290"/>
      <c r="H103" s="290"/>
      <c r="I103" s="290"/>
      <c r="J103" s="290"/>
      <c r="K103" s="290"/>
      <c r="L103" s="290"/>
      <c r="M103" s="290"/>
      <c r="N103" s="290"/>
      <c r="O103" s="290"/>
      <c r="P103" s="290"/>
      <c r="Q103" s="290"/>
      <c r="R103" s="290"/>
      <c r="S103" s="290"/>
      <c r="T103" s="290"/>
      <c r="U103" s="290"/>
      <c r="V103" s="290"/>
      <c r="W103" s="290"/>
      <c r="X103" s="290"/>
      <c r="Y103" s="290"/>
      <c r="Z103" s="290"/>
      <c r="AA103" s="290"/>
      <c r="AB103" s="290"/>
      <c r="AC103" s="290"/>
      <c r="AD103" s="290"/>
      <c r="AE103" s="290"/>
      <c r="AF103" s="290"/>
      <c r="AG103" s="290"/>
      <c r="AH103" s="290"/>
    </row>
    <row r="104" spans="1:34">
      <c r="A104" s="290"/>
      <c r="B104" s="290"/>
      <c r="C104" s="290"/>
      <c r="D104" s="290"/>
      <c r="E104" s="290"/>
      <c r="F104" s="290"/>
      <c r="G104" s="290"/>
      <c r="H104" s="290"/>
      <c r="I104" s="290"/>
      <c r="J104" s="290"/>
      <c r="K104" s="290"/>
      <c r="L104" s="290"/>
      <c r="M104" s="290"/>
      <c r="N104" s="290"/>
      <c r="O104" s="290"/>
      <c r="P104" s="290"/>
      <c r="Q104" s="290"/>
      <c r="R104" s="290"/>
      <c r="S104" s="290"/>
      <c r="T104" s="290"/>
      <c r="U104" s="290"/>
      <c r="V104" s="290"/>
      <c r="W104" s="290"/>
      <c r="X104" s="290"/>
      <c r="Y104" s="290"/>
      <c r="Z104" s="290"/>
      <c r="AA104" s="290"/>
      <c r="AB104" s="290"/>
      <c r="AC104" s="290"/>
      <c r="AD104" s="290"/>
      <c r="AE104" s="290"/>
      <c r="AF104" s="290"/>
      <c r="AG104" s="290"/>
      <c r="AH104" s="290"/>
    </row>
    <row r="105" spans="1:34">
      <c r="A105" s="290"/>
      <c r="B105" s="290"/>
      <c r="C105" s="290"/>
      <c r="D105" s="290"/>
      <c r="E105" s="290"/>
      <c r="F105" s="290"/>
      <c r="G105" s="290"/>
      <c r="H105" s="290"/>
      <c r="I105" s="290"/>
      <c r="J105" s="290"/>
      <c r="K105" s="290"/>
      <c r="L105" s="290"/>
      <c r="M105" s="290"/>
      <c r="N105" s="290"/>
      <c r="O105" s="290"/>
      <c r="P105" s="290"/>
      <c r="Q105" s="290"/>
      <c r="R105" s="290"/>
      <c r="S105" s="290"/>
      <c r="T105" s="290"/>
      <c r="U105" s="290"/>
      <c r="V105" s="290"/>
      <c r="W105" s="290"/>
      <c r="X105" s="290"/>
      <c r="Y105" s="290"/>
      <c r="Z105" s="290"/>
      <c r="AA105" s="290"/>
      <c r="AB105" s="290"/>
      <c r="AC105" s="290"/>
      <c r="AD105" s="290"/>
      <c r="AE105" s="290"/>
      <c r="AF105" s="290"/>
      <c r="AG105" s="290"/>
      <c r="AH105" s="290"/>
    </row>
    <row r="106" spans="1:34">
      <c r="A106" s="290"/>
      <c r="B106" s="290"/>
      <c r="C106" s="290"/>
      <c r="D106" s="290"/>
      <c r="E106" s="290"/>
      <c r="F106" s="290"/>
      <c r="G106" s="290"/>
      <c r="H106" s="290"/>
      <c r="I106" s="290"/>
      <c r="J106" s="290"/>
      <c r="K106" s="290"/>
      <c r="L106" s="290"/>
      <c r="M106" s="290"/>
      <c r="N106" s="290"/>
      <c r="O106" s="290"/>
      <c r="P106" s="290"/>
      <c r="Q106" s="290"/>
      <c r="R106" s="290"/>
      <c r="S106" s="290"/>
      <c r="T106" s="290"/>
      <c r="U106" s="290"/>
      <c r="V106" s="290"/>
      <c r="W106" s="290"/>
      <c r="X106" s="290"/>
      <c r="Y106" s="290"/>
      <c r="Z106" s="290"/>
      <c r="AA106" s="290"/>
      <c r="AB106" s="290"/>
      <c r="AC106" s="290"/>
      <c r="AD106" s="290"/>
      <c r="AE106" s="290"/>
      <c r="AF106" s="290"/>
      <c r="AG106" s="290"/>
      <c r="AH106" s="290"/>
    </row>
    <row r="107" spans="1:34">
      <c r="A107" s="290"/>
      <c r="B107" s="290"/>
      <c r="C107" s="290"/>
      <c r="D107" s="290"/>
      <c r="E107" s="290"/>
      <c r="F107" s="290"/>
      <c r="G107" s="290"/>
      <c r="H107" s="290"/>
      <c r="I107" s="290"/>
      <c r="J107" s="290"/>
      <c r="K107" s="290"/>
      <c r="L107" s="290"/>
      <c r="M107" s="290"/>
      <c r="N107" s="290"/>
      <c r="O107" s="290"/>
      <c r="P107" s="290"/>
      <c r="Q107" s="290"/>
      <c r="R107" s="290"/>
      <c r="S107" s="290"/>
      <c r="T107" s="290"/>
      <c r="U107" s="290"/>
      <c r="V107" s="290"/>
      <c r="W107" s="290"/>
      <c r="X107" s="290"/>
      <c r="Y107" s="290"/>
      <c r="Z107" s="290"/>
      <c r="AA107" s="290"/>
      <c r="AB107" s="290"/>
      <c r="AC107" s="290"/>
      <c r="AD107" s="290"/>
      <c r="AE107" s="290"/>
      <c r="AF107" s="290"/>
      <c r="AG107" s="290"/>
      <c r="AH107" s="290"/>
    </row>
    <row r="108" spans="1:34">
      <c r="A108" s="290"/>
      <c r="B108" s="290"/>
      <c r="C108" s="290"/>
      <c r="D108" s="290"/>
      <c r="E108" s="290"/>
      <c r="F108" s="290"/>
      <c r="G108" s="290"/>
      <c r="H108" s="290"/>
      <c r="I108" s="290"/>
      <c r="J108" s="290"/>
      <c r="K108" s="290"/>
      <c r="L108" s="290"/>
      <c r="M108" s="290"/>
      <c r="N108" s="290"/>
      <c r="O108" s="290"/>
      <c r="P108" s="290"/>
      <c r="Q108" s="290"/>
      <c r="R108" s="290"/>
      <c r="S108" s="290"/>
      <c r="T108" s="290"/>
      <c r="U108" s="290"/>
      <c r="V108" s="290"/>
      <c r="W108" s="290"/>
      <c r="X108" s="290"/>
      <c r="Y108" s="290"/>
      <c r="Z108" s="290"/>
      <c r="AA108" s="290"/>
      <c r="AB108" s="290"/>
      <c r="AC108" s="290"/>
      <c r="AD108" s="290"/>
      <c r="AE108" s="290"/>
      <c r="AF108" s="290"/>
      <c r="AG108" s="290"/>
      <c r="AH108" s="290"/>
    </row>
    <row r="109" spans="1:34">
      <c r="A109" s="290"/>
      <c r="B109" s="290"/>
      <c r="C109" s="290"/>
      <c r="D109" s="290"/>
      <c r="E109" s="290"/>
      <c r="F109" s="290"/>
      <c r="G109" s="290"/>
      <c r="H109" s="290"/>
      <c r="I109" s="290"/>
      <c r="J109" s="290"/>
      <c r="K109" s="290"/>
      <c r="L109" s="290"/>
      <c r="M109" s="290"/>
      <c r="N109" s="290"/>
      <c r="O109" s="290"/>
      <c r="P109" s="290"/>
      <c r="Q109" s="290"/>
      <c r="R109" s="290"/>
      <c r="S109" s="290"/>
      <c r="T109" s="290"/>
      <c r="U109" s="290"/>
      <c r="V109" s="290"/>
      <c r="W109" s="290"/>
      <c r="X109" s="290"/>
      <c r="Y109" s="290"/>
      <c r="Z109" s="290"/>
      <c r="AA109" s="290"/>
      <c r="AB109" s="290"/>
      <c r="AC109" s="290"/>
      <c r="AD109" s="290"/>
      <c r="AE109" s="290"/>
      <c r="AF109" s="290"/>
      <c r="AG109" s="290"/>
      <c r="AH109" s="290"/>
    </row>
    <row r="110" spans="1:34">
      <c r="A110" s="290"/>
      <c r="B110" s="290"/>
      <c r="C110" s="290"/>
      <c r="D110" s="290"/>
      <c r="E110" s="290"/>
      <c r="F110" s="290"/>
      <c r="G110" s="290"/>
      <c r="H110" s="290"/>
      <c r="I110" s="290"/>
      <c r="J110" s="290"/>
      <c r="K110" s="290"/>
      <c r="L110" s="290"/>
      <c r="M110" s="290"/>
      <c r="N110" s="290"/>
      <c r="O110" s="290"/>
      <c r="P110" s="290"/>
      <c r="Q110" s="290"/>
      <c r="R110" s="290"/>
      <c r="S110" s="290"/>
      <c r="T110" s="290"/>
      <c r="U110" s="290"/>
      <c r="V110" s="290"/>
      <c r="W110" s="290"/>
      <c r="X110" s="290"/>
      <c r="Y110" s="290"/>
      <c r="Z110" s="290"/>
      <c r="AA110" s="290"/>
      <c r="AB110" s="290"/>
      <c r="AC110" s="290"/>
      <c r="AD110" s="290"/>
      <c r="AE110" s="290"/>
      <c r="AF110" s="290"/>
      <c r="AG110" s="290"/>
      <c r="AH110" s="290"/>
    </row>
    <row r="111" spans="1:34">
      <c r="A111" s="290"/>
      <c r="B111" s="290"/>
      <c r="C111" s="290"/>
      <c r="D111" s="290"/>
      <c r="E111" s="290"/>
      <c r="F111" s="290"/>
      <c r="G111" s="290"/>
      <c r="H111" s="290"/>
      <c r="I111" s="290"/>
      <c r="J111" s="290"/>
      <c r="K111" s="290"/>
      <c r="L111" s="290"/>
      <c r="M111" s="290"/>
      <c r="N111" s="290"/>
      <c r="O111" s="290"/>
      <c r="P111" s="290"/>
      <c r="Q111" s="290"/>
      <c r="R111" s="290"/>
      <c r="S111" s="290"/>
      <c r="T111" s="290"/>
      <c r="U111" s="290"/>
      <c r="V111" s="290"/>
      <c r="W111" s="290"/>
      <c r="X111" s="290"/>
      <c r="Y111" s="290"/>
      <c r="Z111" s="290"/>
      <c r="AA111" s="290"/>
      <c r="AB111" s="290"/>
      <c r="AC111" s="290"/>
      <c r="AD111" s="290"/>
      <c r="AE111" s="290"/>
      <c r="AF111" s="290"/>
      <c r="AG111" s="290"/>
      <c r="AH111" s="290"/>
    </row>
    <row r="112" spans="1:34">
      <c r="A112" s="290"/>
      <c r="B112" s="290"/>
      <c r="C112" s="290"/>
      <c r="D112" s="290"/>
      <c r="E112" s="290"/>
      <c r="F112" s="290"/>
      <c r="G112" s="290"/>
      <c r="H112" s="290"/>
      <c r="I112" s="290"/>
      <c r="J112" s="290"/>
      <c r="K112" s="290"/>
      <c r="L112" s="290"/>
      <c r="M112" s="290"/>
      <c r="N112" s="290"/>
      <c r="O112" s="290"/>
      <c r="P112" s="290"/>
      <c r="Q112" s="290"/>
      <c r="R112" s="290"/>
      <c r="S112" s="290"/>
      <c r="T112" s="290"/>
      <c r="U112" s="290"/>
      <c r="V112" s="290"/>
      <c r="W112" s="290"/>
      <c r="X112" s="290"/>
      <c r="Y112" s="290"/>
      <c r="Z112" s="290"/>
      <c r="AA112" s="290"/>
      <c r="AB112" s="290"/>
      <c r="AC112" s="290"/>
      <c r="AD112" s="290"/>
      <c r="AE112" s="290"/>
      <c r="AF112" s="290"/>
      <c r="AG112" s="290"/>
      <c r="AH112" s="290"/>
    </row>
    <row r="113" spans="1:34">
      <c r="A113" s="290"/>
      <c r="B113" s="290"/>
      <c r="C113" s="290"/>
      <c r="D113" s="290"/>
      <c r="E113" s="290"/>
      <c r="F113" s="290"/>
      <c r="G113" s="290"/>
      <c r="H113" s="290"/>
      <c r="I113" s="290"/>
      <c r="J113" s="290"/>
      <c r="K113" s="290"/>
      <c r="L113" s="290"/>
      <c r="M113" s="290"/>
      <c r="N113" s="290"/>
      <c r="O113" s="290"/>
      <c r="P113" s="290"/>
      <c r="Q113" s="290"/>
      <c r="R113" s="290"/>
      <c r="S113" s="290"/>
      <c r="T113" s="290"/>
      <c r="U113" s="290"/>
      <c r="V113" s="290"/>
      <c r="W113" s="290"/>
      <c r="X113" s="290"/>
      <c r="Y113" s="290"/>
      <c r="Z113" s="290"/>
      <c r="AA113" s="290"/>
      <c r="AB113" s="290"/>
      <c r="AC113" s="290"/>
      <c r="AD113" s="290"/>
      <c r="AE113" s="290"/>
      <c r="AF113" s="290"/>
      <c r="AG113" s="290"/>
      <c r="AH113" s="290"/>
    </row>
    <row r="114" spans="1:34">
      <c r="A114" s="290"/>
      <c r="B114" s="290"/>
      <c r="C114" s="290"/>
      <c r="D114" s="290"/>
      <c r="E114" s="290"/>
      <c r="F114" s="290"/>
      <c r="G114" s="290"/>
      <c r="H114" s="290"/>
      <c r="I114" s="290"/>
      <c r="J114" s="290"/>
      <c r="K114" s="290"/>
      <c r="L114" s="290"/>
      <c r="M114" s="290"/>
      <c r="N114" s="290"/>
      <c r="O114" s="290"/>
      <c r="P114" s="290"/>
      <c r="Q114" s="290"/>
      <c r="R114" s="290"/>
      <c r="S114" s="290"/>
      <c r="T114" s="290"/>
      <c r="U114" s="290"/>
      <c r="V114" s="290"/>
      <c r="W114" s="290"/>
      <c r="X114" s="290"/>
      <c r="Y114" s="290"/>
      <c r="Z114" s="290"/>
      <c r="AA114" s="290"/>
      <c r="AB114" s="290"/>
      <c r="AC114" s="290"/>
      <c r="AD114" s="290"/>
      <c r="AE114" s="290"/>
      <c r="AF114" s="290"/>
      <c r="AG114" s="290"/>
      <c r="AH114" s="290"/>
    </row>
    <row r="115" spans="1:34">
      <c r="A115" s="290"/>
      <c r="B115" s="290"/>
      <c r="C115" s="290"/>
      <c r="D115" s="290"/>
      <c r="E115" s="290"/>
      <c r="F115" s="290"/>
      <c r="G115" s="290"/>
      <c r="H115" s="290"/>
      <c r="I115" s="290"/>
      <c r="J115" s="290"/>
      <c r="K115" s="290"/>
      <c r="L115" s="290"/>
      <c r="M115" s="290"/>
      <c r="N115" s="290"/>
      <c r="O115" s="290"/>
      <c r="P115" s="290"/>
      <c r="Q115" s="290"/>
      <c r="R115" s="290"/>
      <c r="S115" s="290"/>
      <c r="T115" s="290"/>
      <c r="U115" s="290"/>
      <c r="V115" s="290"/>
      <c r="W115" s="290"/>
      <c r="X115" s="290"/>
      <c r="Y115" s="290"/>
      <c r="Z115" s="290"/>
      <c r="AA115" s="290"/>
      <c r="AB115" s="290"/>
      <c r="AC115" s="290"/>
      <c r="AD115" s="290"/>
      <c r="AE115" s="290"/>
      <c r="AF115" s="290"/>
      <c r="AG115" s="290"/>
      <c r="AH115" s="290"/>
    </row>
    <row r="116" spans="1:34">
      <c r="A116" s="290"/>
      <c r="B116" s="290"/>
      <c r="C116" s="290"/>
      <c r="D116" s="290"/>
      <c r="E116" s="290"/>
      <c r="F116" s="290"/>
      <c r="G116" s="290"/>
      <c r="H116" s="290"/>
      <c r="I116" s="290"/>
      <c r="J116" s="290"/>
      <c r="K116" s="290"/>
      <c r="L116" s="290"/>
      <c r="M116" s="290"/>
      <c r="N116" s="290"/>
      <c r="O116" s="290"/>
      <c r="P116" s="290"/>
      <c r="Q116" s="290"/>
      <c r="R116" s="290"/>
      <c r="S116" s="290"/>
      <c r="T116" s="290"/>
      <c r="U116" s="290"/>
      <c r="V116" s="290"/>
      <c r="W116" s="290"/>
      <c r="X116" s="290"/>
      <c r="Y116" s="290"/>
      <c r="Z116" s="290"/>
      <c r="AA116" s="290"/>
      <c r="AB116" s="290"/>
      <c r="AC116" s="290"/>
      <c r="AD116" s="290"/>
      <c r="AE116" s="290"/>
      <c r="AF116" s="290"/>
      <c r="AG116" s="290"/>
      <c r="AH116" s="290"/>
    </row>
    <row r="117" spans="1:34">
      <c r="A117" s="290"/>
      <c r="B117" s="290"/>
      <c r="C117" s="290"/>
      <c r="D117" s="290"/>
      <c r="E117" s="290"/>
      <c r="F117" s="290"/>
      <c r="G117" s="290"/>
      <c r="H117" s="290"/>
      <c r="I117" s="290"/>
      <c r="J117" s="290"/>
      <c r="K117" s="290"/>
      <c r="L117" s="290"/>
      <c r="M117" s="290"/>
      <c r="N117" s="290"/>
      <c r="O117" s="290"/>
      <c r="P117" s="290"/>
      <c r="Q117" s="290"/>
      <c r="R117" s="290"/>
      <c r="S117" s="290"/>
      <c r="T117" s="290"/>
      <c r="U117" s="290"/>
      <c r="V117" s="290"/>
      <c r="W117" s="290"/>
      <c r="X117" s="290"/>
      <c r="Y117" s="290"/>
      <c r="Z117" s="290"/>
      <c r="AA117" s="290"/>
      <c r="AB117" s="290"/>
      <c r="AC117" s="290"/>
      <c r="AD117" s="290"/>
      <c r="AE117" s="290"/>
      <c r="AF117" s="290"/>
      <c r="AG117" s="290"/>
      <c r="AH117" s="290"/>
    </row>
    <row r="118" spans="1:34">
      <c r="A118" s="290"/>
      <c r="B118" s="290"/>
      <c r="C118" s="290"/>
      <c r="D118" s="290"/>
      <c r="E118" s="290"/>
      <c r="F118" s="290"/>
      <c r="G118" s="290"/>
      <c r="H118" s="290"/>
      <c r="I118" s="290"/>
      <c r="J118" s="290"/>
      <c r="K118" s="290"/>
      <c r="L118" s="290"/>
      <c r="M118" s="290"/>
      <c r="N118" s="290"/>
      <c r="O118" s="290"/>
      <c r="P118" s="290"/>
      <c r="Q118" s="290"/>
      <c r="R118" s="290"/>
      <c r="S118" s="290"/>
      <c r="T118" s="290"/>
      <c r="U118" s="290"/>
      <c r="V118" s="290"/>
      <c r="W118" s="290"/>
      <c r="X118" s="290"/>
      <c r="Y118" s="290"/>
      <c r="Z118" s="290"/>
      <c r="AA118" s="290"/>
      <c r="AB118" s="290"/>
      <c r="AC118" s="290"/>
      <c r="AD118" s="290"/>
      <c r="AE118" s="290"/>
      <c r="AF118" s="290"/>
      <c r="AG118" s="290"/>
      <c r="AH118" s="290"/>
    </row>
    <row r="119" spans="1:34">
      <c r="A119" s="290"/>
      <c r="B119" s="290"/>
      <c r="C119" s="290"/>
      <c r="D119" s="290"/>
      <c r="E119" s="290"/>
      <c r="F119" s="290"/>
      <c r="G119" s="290"/>
      <c r="H119" s="290"/>
      <c r="I119" s="290"/>
      <c r="J119" s="290"/>
      <c r="K119" s="290"/>
      <c r="L119" s="290"/>
      <c r="M119" s="290"/>
      <c r="N119" s="290"/>
      <c r="O119" s="290"/>
      <c r="P119" s="290"/>
      <c r="Q119" s="290"/>
      <c r="R119" s="290"/>
      <c r="S119" s="290"/>
      <c r="T119" s="290"/>
      <c r="U119" s="290"/>
      <c r="V119" s="290"/>
      <c r="W119" s="290"/>
      <c r="X119" s="290"/>
      <c r="Y119" s="290"/>
      <c r="Z119" s="290"/>
      <c r="AA119" s="290"/>
      <c r="AB119" s="290"/>
      <c r="AC119" s="290"/>
      <c r="AD119" s="290"/>
      <c r="AE119" s="290"/>
      <c r="AF119" s="290"/>
      <c r="AG119" s="290"/>
      <c r="AH119" s="290"/>
    </row>
    <row r="120" spans="1:34">
      <c r="A120" s="290"/>
      <c r="B120" s="290"/>
      <c r="C120" s="290"/>
      <c r="D120" s="290"/>
      <c r="E120" s="290"/>
      <c r="F120" s="290"/>
      <c r="G120" s="290"/>
      <c r="H120" s="290"/>
      <c r="I120" s="290"/>
      <c r="J120" s="290"/>
      <c r="K120" s="290"/>
      <c r="L120" s="290"/>
      <c r="M120" s="290"/>
      <c r="N120" s="290"/>
      <c r="O120" s="290"/>
      <c r="P120" s="290"/>
      <c r="Q120" s="290"/>
      <c r="R120" s="290"/>
      <c r="S120" s="290"/>
      <c r="T120" s="290"/>
      <c r="U120" s="290"/>
      <c r="V120" s="290"/>
      <c r="W120" s="290"/>
      <c r="X120" s="290"/>
      <c r="Y120" s="290"/>
      <c r="Z120" s="290"/>
      <c r="AA120" s="290"/>
      <c r="AB120" s="290"/>
      <c r="AC120" s="290"/>
      <c r="AD120" s="290"/>
      <c r="AE120" s="290"/>
      <c r="AF120" s="290"/>
      <c r="AG120" s="290"/>
      <c r="AH120" s="290"/>
    </row>
    <row r="121" spans="1:34">
      <c r="A121" s="290"/>
      <c r="B121" s="290"/>
      <c r="C121" s="290"/>
      <c r="D121" s="290"/>
      <c r="E121" s="290"/>
      <c r="F121" s="290"/>
      <c r="G121" s="290"/>
      <c r="H121" s="290"/>
      <c r="I121" s="290"/>
      <c r="J121" s="290"/>
      <c r="K121" s="290"/>
      <c r="L121" s="290"/>
      <c r="M121" s="290"/>
      <c r="N121" s="290"/>
      <c r="O121" s="290"/>
      <c r="P121" s="290"/>
      <c r="Q121" s="290"/>
      <c r="R121" s="290"/>
      <c r="S121" s="290"/>
      <c r="T121" s="290"/>
      <c r="U121" s="290"/>
      <c r="V121" s="290"/>
      <c r="W121" s="290"/>
      <c r="X121" s="290"/>
      <c r="Y121" s="290"/>
      <c r="Z121" s="290"/>
      <c r="AA121" s="290"/>
      <c r="AB121" s="290"/>
      <c r="AC121" s="290"/>
      <c r="AD121" s="290"/>
      <c r="AE121" s="290"/>
      <c r="AF121" s="290"/>
      <c r="AG121" s="290"/>
      <c r="AH121" s="290"/>
    </row>
    <row r="122" spans="1:34">
      <c r="A122" s="290"/>
      <c r="B122" s="290"/>
      <c r="C122" s="290"/>
      <c r="D122" s="290"/>
      <c r="E122" s="290"/>
      <c r="F122" s="290"/>
      <c r="G122" s="290"/>
      <c r="H122" s="290"/>
      <c r="I122" s="290"/>
      <c r="J122" s="290"/>
      <c r="K122" s="290"/>
      <c r="L122" s="290"/>
      <c r="M122" s="290"/>
      <c r="N122" s="290"/>
      <c r="O122" s="290"/>
      <c r="P122" s="290"/>
      <c r="Q122" s="290"/>
      <c r="R122" s="290"/>
      <c r="S122" s="290"/>
      <c r="T122" s="290"/>
      <c r="U122" s="290"/>
      <c r="V122" s="290"/>
      <c r="W122" s="290"/>
      <c r="X122" s="290"/>
      <c r="Y122" s="290"/>
      <c r="Z122" s="290"/>
      <c r="AA122" s="290"/>
      <c r="AB122" s="290"/>
      <c r="AC122" s="290"/>
      <c r="AD122" s="290"/>
      <c r="AE122" s="290"/>
      <c r="AF122" s="290"/>
      <c r="AG122" s="290"/>
      <c r="AH122" s="290"/>
    </row>
    <row r="123" spans="1:34">
      <c r="A123" s="290"/>
      <c r="B123" s="290"/>
      <c r="C123" s="290"/>
      <c r="D123" s="290"/>
      <c r="E123" s="290"/>
      <c r="F123" s="290"/>
      <c r="G123" s="290"/>
      <c r="H123" s="290"/>
      <c r="I123" s="290"/>
      <c r="J123" s="290"/>
      <c r="K123" s="290"/>
      <c r="L123" s="290"/>
      <c r="M123" s="290"/>
      <c r="N123" s="290"/>
      <c r="O123" s="290"/>
      <c r="P123" s="290"/>
      <c r="Q123" s="290"/>
      <c r="R123" s="290"/>
      <c r="S123" s="290"/>
      <c r="T123" s="290"/>
      <c r="U123" s="290"/>
      <c r="V123" s="290"/>
      <c r="W123" s="290"/>
      <c r="X123" s="290"/>
      <c r="Y123" s="290"/>
      <c r="Z123" s="290"/>
      <c r="AA123" s="290"/>
      <c r="AB123" s="290"/>
      <c r="AC123" s="290"/>
      <c r="AD123" s="290"/>
      <c r="AE123" s="290"/>
      <c r="AF123" s="290"/>
      <c r="AG123" s="290"/>
      <c r="AH123" s="290"/>
    </row>
    <row r="124" spans="1:34">
      <c r="A124" s="290"/>
      <c r="B124" s="290"/>
      <c r="C124" s="290"/>
      <c r="D124" s="290"/>
      <c r="E124" s="290"/>
      <c r="F124" s="290"/>
      <c r="G124" s="290"/>
      <c r="H124" s="290"/>
      <c r="I124" s="290"/>
      <c r="J124" s="290"/>
      <c r="K124" s="290"/>
      <c r="L124" s="290"/>
      <c r="M124" s="290"/>
      <c r="N124" s="290"/>
      <c r="O124" s="290"/>
      <c r="P124" s="290"/>
      <c r="Q124" s="290"/>
      <c r="R124" s="290"/>
      <c r="S124" s="290"/>
      <c r="T124" s="290"/>
      <c r="U124" s="290"/>
      <c r="V124" s="290"/>
      <c r="W124" s="290"/>
      <c r="X124" s="290"/>
      <c r="Y124" s="290"/>
      <c r="Z124" s="290"/>
      <c r="AA124" s="290"/>
      <c r="AB124" s="290"/>
      <c r="AC124" s="290"/>
      <c r="AD124" s="290"/>
      <c r="AE124" s="290"/>
      <c r="AF124" s="290"/>
      <c r="AG124" s="290"/>
      <c r="AH124" s="290"/>
    </row>
    <row r="125" spans="1:34">
      <c r="A125" s="290"/>
      <c r="B125" s="290"/>
      <c r="C125" s="290"/>
      <c r="D125" s="290"/>
      <c r="E125" s="290"/>
      <c r="F125" s="290"/>
      <c r="G125" s="290"/>
      <c r="H125" s="290"/>
      <c r="I125" s="290"/>
      <c r="J125" s="290"/>
      <c r="K125" s="290"/>
      <c r="L125" s="290"/>
      <c r="M125" s="290"/>
      <c r="N125" s="290"/>
      <c r="O125" s="290"/>
      <c r="P125" s="290"/>
      <c r="Q125" s="290"/>
      <c r="R125" s="290"/>
      <c r="S125" s="290"/>
      <c r="T125" s="290"/>
      <c r="U125" s="290"/>
      <c r="V125" s="290"/>
      <c r="W125" s="290"/>
      <c r="X125" s="290"/>
      <c r="Y125" s="290"/>
      <c r="Z125" s="290"/>
      <c r="AA125" s="290"/>
      <c r="AB125" s="290"/>
      <c r="AC125" s="290"/>
      <c r="AD125" s="290"/>
      <c r="AE125" s="290"/>
      <c r="AF125" s="290"/>
      <c r="AG125" s="290"/>
      <c r="AH125" s="290"/>
    </row>
    <row r="126" spans="1:34">
      <c r="A126" s="290"/>
      <c r="B126" s="290"/>
      <c r="C126" s="290"/>
      <c r="D126" s="290"/>
      <c r="E126" s="290"/>
      <c r="F126" s="290"/>
      <c r="G126" s="290"/>
      <c r="H126" s="290"/>
      <c r="I126" s="290"/>
      <c r="J126" s="290"/>
      <c r="K126" s="290"/>
      <c r="L126" s="290"/>
      <c r="M126" s="290"/>
      <c r="N126" s="290"/>
      <c r="O126" s="290"/>
      <c r="P126" s="290"/>
      <c r="Q126" s="290"/>
      <c r="R126" s="290"/>
      <c r="S126" s="290"/>
      <c r="T126" s="290"/>
      <c r="U126" s="290"/>
      <c r="V126" s="290"/>
      <c r="W126" s="290"/>
      <c r="X126" s="290"/>
      <c r="Y126" s="290"/>
      <c r="Z126" s="290"/>
      <c r="AA126" s="290"/>
      <c r="AB126" s="290"/>
      <c r="AC126" s="290"/>
      <c r="AD126" s="290"/>
      <c r="AE126" s="290"/>
      <c r="AF126" s="290"/>
      <c r="AG126" s="290"/>
      <c r="AH126" s="290"/>
    </row>
    <row r="127" spans="1:34">
      <c r="A127" s="290"/>
      <c r="B127" s="290"/>
      <c r="C127" s="290"/>
      <c r="D127" s="290"/>
      <c r="E127" s="290"/>
      <c r="F127" s="290"/>
      <c r="G127" s="290"/>
      <c r="H127" s="290"/>
      <c r="I127" s="290"/>
      <c r="J127" s="290"/>
      <c r="K127" s="290"/>
      <c r="L127" s="290"/>
      <c r="M127" s="290"/>
      <c r="N127" s="290"/>
      <c r="O127" s="290"/>
      <c r="P127" s="290"/>
      <c r="Q127" s="290"/>
      <c r="R127" s="290"/>
      <c r="S127" s="290"/>
      <c r="T127" s="290"/>
      <c r="U127" s="290"/>
      <c r="V127" s="290"/>
      <c r="W127" s="290"/>
      <c r="X127" s="290"/>
      <c r="Y127" s="290"/>
      <c r="Z127" s="290"/>
      <c r="AA127" s="290"/>
      <c r="AB127" s="290"/>
      <c r="AC127" s="290"/>
      <c r="AD127" s="290"/>
      <c r="AE127" s="290"/>
      <c r="AF127" s="290"/>
      <c r="AG127" s="290"/>
      <c r="AH127" s="290"/>
    </row>
    <row r="128" spans="1:34">
      <c r="A128" s="290"/>
      <c r="B128" s="290"/>
      <c r="C128" s="290"/>
      <c r="D128" s="290"/>
      <c r="E128" s="290"/>
      <c r="F128" s="290"/>
      <c r="G128" s="290"/>
      <c r="H128" s="290"/>
      <c r="I128" s="290"/>
      <c r="J128" s="290"/>
      <c r="K128" s="290"/>
      <c r="L128" s="290"/>
      <c r="M128" s="290"/>
      <c r="N128" s="290"/>
      <c r="O128" s="290"/>
      <c r="P128" s="290"/>
      <c r="Q128" s="290"/>
      <c r="R128" s="290"/>
      <c r="S128" s="290"/>
      <c r="T128" s="290"/>
      <c r="U128" s="290"/>
      <c r="V128" s="290"/>
      <c r="W128" s="290"/>
      <c r="X128" s="290"/>
      <c r="Y128" s="290"/>
      <c r="Z128" s="290"/>
      <c r="AA128" s="290"/>
      <c r="AB128" s="290"/>
      <c r="AC128" s="290"/>
      <c r="AD128" s="290"/>
      <c r="AE128" s="290"/>
      <c r="AF128" s="290"/>
      <c r="AG128" s="290"/>
      <c r="AH128" s="290"/>
    </row>
    <row r="129" spans="1:34">
      <c r="A129" s="290"/>
      <c r="B129" s="290"/>
      <c r="C129" s="290"/>
      <c r="D129" s="290"/>
      <c r="E129" s="290"/>
      <c r="F129" s="290"/>
      <c r="G129" s="290"/>
      <c r="H129" s="290"/>
      <c r="I129" s="290"/>
      <c r="J129" s="290"/>
      <c r="K129" s="290"/>
      <c r="L129" s="290"/>
      <c r="M129" s="290"/>
      <c r="N129" s="290"/>
      <c r="O129" s="290"/>
      <c r="P129" s="290"/>
      <c r="Q129" s="290"/>
      <c r="R129" s="290"/>
      <c r="S129" s="290"/>
      <c r="T129" s="290"/>
      <c r="U129" s="290"/>
      <c r="V129" s="290"/>
      <c r="W129" s="290"/>
      <c r="X129" s="290"/>
      <c r="Y129" s="290"/>
      <c r="Z129" s="290"/>
      <c r="AA129" s="290"/>
      <c r="AB129" s="290"/>
      <c r="AC129" s="290"/>
      <c r="AD129" s="290"/>
      <c r="AE129" s="290"/>
      <c r="AF129" s="290"/>
      <c r="AG129" s="290"/>
      <c r="AH129" s="290"/>
    </row>
    <row r="130" spans="1:34">
      <c r="A130" s="290"/>
      <c r="B130" s="290"/>
      <c r="C130" s="290"/>
      <c r="D130" s="290"/>
      <c r="E130" s="290"/>
      <c r="F130" s="290"/>
      <c r="G130" s="290"/>
      <c r="H130" s="290"/>
      <c r="I130" s="290"/>
      <c r="J130" s="290"/>
      <c r="K130" s="290"/>
      <c r="L130" s="290"/>
      <c r="M130" s="290"/>
      <c r="N130" s="290"/>
      <c r="O130" s="290"/>
      <c r="P130" s="290"/>
      <c r="Q130" s="290"/>
      <c r="R130" s="290"/>
      <c r="S130" s="290"/>
      <c r="T130" s="290"/>
      <c r="U130" s="290"/>
      <c r="V130" s="290"/>
      <c r="W130" s="290"/>
      <c r="X130" s="290"/>
      <c r="Y130" s="290"/>
      <c r="Z130" s="290"/>
      <c r="AA130" s="290"/>
      <c r="AB130" s="290"/>
      <c r="AC130" s="290"/>
      <c r="AD130" s="290"/>
      <c r="AE130" s="290"/>
      <c r="AF130" s="290"/>
      <c r="AG130" s="290"/>
      <c r="AH130" s="290"/>
    </row>
    <row r="131" spans="1:34">
      <c r="A131" s="290"/>
      <c r="B131" s="290"/>
      <c r="C131" s="290"/>
      <c r="D131" s="290"/>
      <c r="E131" s="290"/>
      <c r="F131" s="290"/>
      <c r="G131" s="290"/>
      <c r="H131" s="290"/>
      <c r="I131" s="290"/>
      <c r="J131" s="290"/>
      <c r="K131" s="290"/>
      <c r="L131" s="290"/>
      <c r="M131" s="290"/>
      <c r="N131" s="290"/>
      <c r="O131" s="290"/>
      <c r="P131" s="290"/>
      <c r="Q131" s="290"/>
      <c r="R131" s="290"/>
      <c r="S131" s="290"/>
      <c r="T131" s="290"/>
      <c r="U131" s="290"/>
      <c r="V131" s="290"/>
      <c r="W131" s="290"/>
      <c r="X131" s="290"/>
      <c r="Y131" s="290"/>
      <c r="Z131" s="290"/>
      <c r="AA131" s="290"/>
      <c r="AB131" s="290"/>
      <c r="AC131" s="290"/>
      <c r="AD131" s="290"/>
      <c r="AE131" s="290"/>
      <c r="AF131" s="290"/>
      <c r="AG131" s="290"/>
      <c r="AH131" s="290"/>
    </row>
    <row r="132" spans="1:34">
      <c r="A132" s="290"/>
      <c r="B132" s="290"/>
      <c r="C132" s="290"/>
      <c r="D132" s="290"/>
      <c r="E132" s="290"/>
      <c r="F132" s="290"/>
      <c r="G132" s="290"/>
      <c r="H132" s="290"/>
      <c r="I132" s="290"/>
      <c r="J132" s="290"/>
      <c r="K132" s="290"/>
      <c r="L132" s="290"/>
      <c r="M132" s="290"/>
      <c r="N132" s="290"/>
      <c r="O132" s="290"/>
      <c r="P132" s="290"/>
      <c r="Q132" s="290"/>
      <c r="R132" s="290"/>
      <c r="S132" s="290"/>
      <c r="T132" s="290"/>
      <c r="U132" s="290"/>
      <c r="V132" s="290"/>
      <c r="W132" s="290"/>
      <c r="X132" s="290"/>
      <c r="Y132" s="290"/>
      <c r="Z132" s="290"/>
      <c r="AA132" s="290"/>
      <c r="AB132" s="290"/>
      <c r="AC132" s="290"/>
      <c r="AD132" s="290"/>
      <c r="AE132" s="290"/>
      <c r="AF132" s="290"/>
      <c r="AG132" s="290"/>
      <c r="AH132" s="290"/>
    </row>
    <row r="133" spans="1:34">
      <c r="A133" s="290"/>
      <c r="B133" s="290"/>
      <c r="C133" s="290"/>
      <c r="D133" s="290"/>
      <c r="E133" s="290"/>
      <c r="F133" s="290"/>
      <c r="G133" s="290"/>
      <c r="H133" s="290"/>
      <c r="I133" s="290"/>
      <c r="J133" s="290"/>
      <c r="K133" s="290"/>
      <c r="L133" s="290"/>
      <c r="M133" s="290"/>
      <c r="N133" s="290"/>
      <c r="O133" s="290"/>
      <c r="P133" s="290"/>
      <c r="Q133" s="290"/>
      <c r="R133" s="290"/>
      <c r="S133" s="290"/>
      <c r="T133" s="290"/>
      <c r="U133" s="290"/>
      <c r="V133" s="290"/>
      <c r="W133" s="290"/>
      <c r="X133" s="290"/>
      <c r="Y133" s="290"/>
      <c r="Z133" s="290"/>
      <c r="AA133" s="290"/>
      <c r="AB133" s="290"/>
      <c r="AC133" s="290"/>
      <c r="AD133" s="290"/>
      <c r="AE133" s="290"/>
      <c r="AF133" s="290"/>
      <c r="AG133" s="290"/>
      <c r="AH133" s="290"/>
    </row>
    <row r="134" spans="1:34">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row>
    <row r="135" spans="1:34">
      <c r="A135" s="290"/>
      <c r="B135" s="290"/>
      <c r="C135" s="290"/>
      <c r="D135" s="290"/>
      <c r="E135" s="290"/>
      <c r="F135" s="290"/>
      <c r="G135" s="290"/>
      <c r="H135" s="290"/>
      <c r="I135" s="290"/>
      <c r="J135" s="290"/>
      <c r="K135" s="290"/>
      <c r="L135" s="290"/>
      <c r="M135" s="290"/>
      <c r="N135" s="290"/>
      <c r="O135" s="290"/>
      <c r="P135" s="290"/>
      <c r="Q135" s="290"/>
      <c r="R135" s="290"/>
      <c r="S135" s="290"/>
      <c r="T135" s="290"/>
      <c r="U135" s="290"/>
      <c r="V135" s="290"/>
      <c r="W135" s="290"/>
      <c r="X135" s="290"/>
      <c r="Y135" s="290"/>
      <c r="Z135" s="290"/>
      <c r="AA135" s="290"/>
      <c r="AB135" s="290"/>
      <c r="AC135" s="290"/>
      <c r="AD135" s="290"/>
      <c r="AE135" s="290"/>
      <c r="AF135" s="290"/>
      <c r="AG135" s="290"/>
      <c r="AH135" s="290"/>
    </row>
    <row r="136" spans="1:34">
      <c r="A136" s="290"/>
      <c r="B136" s="290"/>
      <c r="C136" s="290"/>
      <c r="D136" s="290"/>
      <c r="E136" s="290"/>
      <c r="F136" s="290"/>
      <c r="G136" s="290"/>
      <c r="H136" s="290"/>
      <c r="I136" s="290"/>
      <c r="J136" s="290"/>
      <c r="K136" s="290"/>
      <c r="L136" s="290"/>
      <c r="M136" s="290"/>
      <c r="N136" s="290"/>
      <c r="O136" s="290"/>
      <c r="P136" s="290"/>
      <c r="Q136" s="290"/>
      <c r="R136" s="290"/>
      <c r="S136" s="290"/>
      <c r="T136" s="290"/>
      <c r="U136" s="290"/>
      <c r="V136" s="290"/>
      <c r="W136" s="290"/>
      <c r="X136" s="290"/>
      <c r="Y136" s="290"/>
      <c r="Z136" s="290"/>
      <c r="AA136" s="290"/>
      <c r="AB136" s="290"/>
      <c r="AC136" s="290"/>
      <c r="AD136" s="290"/>
      <c r="AE136" s="290"/>
      <c r="AF136" s="290"/>
      <c r="AG136" s="290"/>
      <c r="AH136" s="290"/>
    </row>
    <row r="137" spans="1:34">
      <c r="A137" s="290"/>
      <c r="B137" s="290"/>
      <c r="C137" s="290"/>
      <c r="D137" s="290"/>
      <c r="E137" s="290"/>
      <c r="F137" s="290"/>
      <c r="G137" s="290"/>
      <c r="H137" s="290"/>
      <c r="I137" s="290"/>
      <c r="J137" s="290"/>
      <c r="K137" s="290"/>
      <c r="L137" s="290"/>
      <c r="M137" s="290"/>
      <c r="N137" s="290"/>
      <c r="O137" s="290"/>
      <c r="P137" s="290"/>
      <c r="Q137" s="290"/>
      <c r="R137" s="290"/>
      <c r="S137" s="290"/>
      <c r="T137" s="290"/>
      <c r="U137" s="290"/>
      <c r="V137" s="290"/>
      <c r="W137" s="290"/>
      <c r="X137" s="290"/>
      <c r="Y137" s="290"/>
      <c r="Z137" s="290"/>
      <c r="AA137" s="290"/>
      <c r="AB137" s="290"/>
      <c r="AC137" s="290"/>
      <c r="AD137" s="290"/>
      <c r="AE137" s="290"/>
      <c r="AF137" s="290"/>
      <c r="AG137" s="290"/>
      <c r="AH137" s="290"/>
    </row>
    <row r="138" spans="1:34">
      <c r="A138" s="290"/>
      <c r="B138" s="290"/>
      <c r="C138" s="290"/>
      <c r="D138" s="290"/>
      <c r="E138" s="290"/>
      <c r="F138" s="290"/>
      <c r="G138" s="290"/>
      <c r="H138" s="290"/>
      <c r="I138" s="290"/>
      <c r="J138" s="290"/>
      <c r="K138" s="290"/>
      <c r="L138" s="290"/>
      <c r="M138" s="290"/>
      <c r="N138" s="290"/>
      <c r="O138" s="290"/>
      <c r="P138" s="290"/>
      <c r="Q138" s="290"/>
      <c r="R138" s="290"/>
      <c r="S138" s="290"/>
      <c r="T138" s="290"/>
      <c r="U138" s="290"/>
      <c r="V138" s="290"/>
      <c r="W138" s="290"/>
      <c r="X138" s="290"/>
      <c r="Y138" s="290"/>
      <c r="Z138" s="290"/>
      <c r="AA138" s="290"/>
      <c r="AB138" s="290"/>
      <c r="AC138" s="290"/>
      <c r="AD138" s="290"/>
      <c r="AE138" s="290"/>
      <c r="AF138" s="290"/>
      <c r="AG138" s="290"/>
      <c r="AH138" s="290"/>
    </row>
    <row r="139" spans="1:34">
      <c r="A139" s="290"/>
      <c r="B139" s="290"/>
      <c r="C139" s="290"/>
      <c r="D139" s="290"/>
      <c r="E139" s="290"/>
      <c r="F139" s="290"/>
      <c r="G139" s="290"/>
      <c r="H139" s="290"/>
      <c r="I139" s="290"/>
      <c r="J139" s="290"/>
      <c r="K139" s="290"/>
      <c r="L139" s="290"/>
      <c r="M139" s="290"/>
      <c r="N139" s="290"/>
      <c r="O139" s="290"/>
      <c r="P139" s="290"/>
      <c r="Q139" s="290"/>
      <c r="R139" s="290"/>
      <c r="S139" s="290"/>
      <c r="T139" s="290"/>
      <c r="U139" s="290"/>
      <c r="V139" s="290"/>
      <c r="W139" s="290"/>
      <c r="X139" s="290"/>
      <c r="Y139" s="290"/>
      <c r="Z139" s="290"/>
      <c r="AA139" s="290"/>
      <c r="AB139" s="290"/>
      <c r="AC139" s="290"/>
      <c r="AD139" s="290"/>
      <c r="AE139" s="290"/>
      <c r="AF139" s="290"/>
      <c r="AG139" s="290"/>
      <c r="AH139" s="290"/>
    </row>
    <row r="140" spans="1:34">
      <c r="A140" s="290"/>
      <c r="B140" s="290"/>
      <c r="C140" s="290"/>
      <c r="D140" s="290"/>
      <c r="E140" s="290"/>
      <c r="F140" s="290"/>
      <c r="G140" s="290"/>
      <c r="H140" s="290"/>
      <c r="I140" s="290"/>
      <c r="J140" s="290"/>
      <c r="K140" s="290"/>
      <c r="L140" s="290"/>
      <c r="M140" s="290"/>
      <c r="N140" s="290"/>
      <c r="O140" s="290"/>
      <c r="P140" s="290"/>
      <c r="Q140" s="290"/>
      <c r="R140" s="290"/>
      <c r="S140" s="290"/>
      <c r="T140" s="290"/>
      <c r="U140" s="290"/>
      <c r="V140" s="290"/>
      <c r="W140" s="290"/>
      <c r="X140" s="290"/>
      <c r="Y140" s="290"/>
      <c r="Z140" s="290"/>
      <c r="AA140" s="290"/>
      <c r="AB140" s="290"/>
      <c r="AC140" s="290"/>
      <c r="AD140" s="290"/>
      <c r="AE140" s="290"/>
      <c r="AF140" s="290"/>
      <c r="AG140" s="290"/>
      <c r="AH140" s="290"/>
    </row>
    <row r="141" spans="1:34">
      <c r="A141" s="290"/>
      <c r="B141" s="290"/>
      <c r="C141" s="290"/>
      <c r="D141" s="290"/>
      <c r="E141" s="290"/>
      <c r="F141" s="290"/>
      <c r="G141" s="290"/>
      <c r="H141" s="290"/>
      <c r="I141" s="290"/>
      <c r="J141" s="290"/>
      <c r="K141" s="290"/>
      <c r="L141" s="290"/>
      <c r="M141" s="290"/>
      <c r="N141" s="290"/>
      <c r="O141" s="290"/>
      <c r="P141" s="290"/>
      <c r="Q141" s="290"/>
      <c r="R141" s="290"/>
      <c r="S141" s="290"/>
      <c r="T141" s="290"/>
      <c r="U141" s="290"/>
      <c r="V141" s="290"/>
      <c r="W141" s="290"/>
      <c r="X141" s="290"/>
      <c r="Y141" s="290"/>
      <c r="Z141" s="290"/>
      <c r="AA141" s="290"/>
      <c r="AB141" s="290"/>
      <c r="AC141" s="290"/>
      <c r="AD141" s="290"/>
      <c r="AE141" s="290"/>
      <c r="AF141" s="290"/>
      <c r="AG141" s="290"/>
      <c r="AH141" s="290"/>
    </row>
    <row r="142" spans="1:34">
      <c r="A142" s="290"/>
      <c r="B142" s="290"/>
      <c r="C142" s="290"/>
      <c r="D142" s="290"/>
      <c r="E142" s="290"/>
      <c r="F142" s="290"/>
      <c r="G142" s="290"/>
      <c r="H142" s="290"/>
      <c r="I142" s="290"/>
      <c r="J142" s="290"/>
      <c r="K142" s="290"/>
      <c r="L142" s="290"/>
      <c r="M142" s="290"/>
      <c r="N142" s="290"/>
      <c r="O142" s="290"/>
      <c r="P142" s="290"/>
      <c r="Q142" s="290"/>
      <c r="R142" s="290"/>
      <c r="S142" s="290"/>
      <c r="T142" s="290"/>
      <c r="U142" s="290"/>
      <c r="V142" s="290"/>
      <c r="W142" s="290"/>
      <c r="X142" s="290"/>
      <c r="Y142" s="290"/>
      <c r="Z142" s="290"/>
      <c r="AA142" s="290"/>
      <c r="AB142" s="290"/>
      <c r="AC142" s="290"/>
      <c r="AD142" s="290"/>
      <c r="AE142" s="290"/>
      <c r="AF142" s="290"/>
      <c r="AG142" s="290"/>
      <c r="AH142" s="290"/>
    </row>
    <row r="143" spans="1:34">
      <c r="A143" s="290"/>
      <c r="B143" s="290"/>
      <c r="C143" s="290"/>
      <c r="D143" s="290"/>
      <c r="E143" s="290"/>
      <c r="F143" s="290"/>
      <c r="G143" s="290"/>
      <c r="H143" s="290"/>
      <c r="I143" s="290"/>
      <c r="J143" s="290"/>
      <c r="K143" s="290"/>
      <c r="L143" s="290"/>
      <c r="M143" s="290"/>
      <c r="N143" s="290"/>
      <c r="O143" s="290"/>
      <c r="P143" s="290"/>
      <c r="Q143" s="290"/>
      <c r="R143" s="290"/>
      <c r="S143" s="290"/>
      <c r="T143" s="290"/>
      <c r="U143" s="290"/>
      <c r="V143" s="290"/>
      <c r="W143" s="290"/>
      <c r="X143" s="290"/>
      <c r="Y143" s="290"/>
      <c r="Z143" s="290"/>
      <c r="AA143" s="290"/>
      <c r="AB143" s="290"/>
      <c r="AC143" s="290"/>
      <c r="AD143" s="290"/>
      <c r="AE143" s="290"/>
      <c r="AF143" s="290"/>
      <c r="AG143" s="290"/>
      <c r="AH143" s="290"/>
    </row>
    <row r="144" spans="1:34">
      <c r="A144" s="290"/>
      <c r="B144" s="290"/>
      <c r="C144" s="290"/>
      <c r="D144" s="290"/>
      <c r="E144" s="290"/>
      <c r="F144" s="290"/>
      <c r="G144" s="290"/>
      <c r="H144" s="290"/>
      <c r="I144" s="290"/>
      <c r="J144" s="290"/>
      <c r="K144" s="290"/>
      <c r="L144" s="290"/>
      <c r="M144" s="290"/>
      <c r="N144" s="290"/>
      <c r="O144" s="290"/>
      <c r="P144" s="290"/>
      <c r="Q144" s="290"/>
      <c r="R144" s="290"/>
      <c r="S144" s="290"/>
      <c r="T144" s="290"/>
      <c r="U144" s="290"/>
      <c r="V144" s="290"/>
      <c r="W144" s="290"/>
      <c r="X144" s="290"/>
      <c r="Y144" s="290"/>
      <c r="Z144" s="290"/>
      <c r="AA144" s="290"/>
      <c r="AB144" s="290"/>
      <c r="AC144" s="290"/>
      <c r="AD144" s="290"/>
      <c r="AE144" s="290"/>
      <c r="AF144" s="290"/>
      <c r="AG144" s="290"/>
      <c r="AH144" s="290"/>
    </row>
    <row r="145" spans="1:34">
      <c r="A145" s="290"/>
      <c r="B145" s="290"/>
      <c r="C145" s="290"/>
      <c r="D145" s="290"/>
      <c r="E145" s="290"/>
      <c r="F145" s="290"/>
      <c r="G145" s="290"/>
      <c r="H145" s="290"/>
      <c r="I145" s="290"/>
      <c r="J145" s="290"/>
      <c r="K145" s="290"/>
      <c r="L145" s="290"/>
      <c r="M145" s="290"/>
      <c r="N145" s="290"/>
      <c r="O145" s="290"/>
      <c r="P145" s="290"/>
      <c r="Q145" s="290"/>
      <c r="R145" s="290"/>
      <c r="S145" s="290"/>
      <c r="T145" s="290"/>
      <c r="U145" s="290"/>
      <c r="V145" s="290"/>
      <c r="W145" s="290"/>
      <c r="X145" s="290"/>
      <c r="Y145" s="290"/>
      <c r="Z145" s="290"/>
      <c r="AA145" s="290"/>
      <c r="AB145" s="290"/>
      <c r="AC145" s="290"/>
      <c r="AD145" s="290"/>
      <c r="AE145" s="290"/>
      <c r="AF145" s="290"/>
      <c r="AG145" s="290"/>
      <c r="AH145" s="290"/>
    </row>
    <row r="146" spans="1:34">
      <c r="A146" s="290"/>
      <c r="B146" s="290"/>
      <c r="C146" s="290"/>
      <c r="D146" s="290"/>
      <c r="E146" s="290"/>
      <c r="F146" s="290"/>
      <c r="G146" s="290"/>
      <c r="H146" s="290"/>
      <c r="I146" s="290"/>
      <c r="J146" s="290"/>
      <c r="K146" s="290"/>
      <c r="L146" s="290"/>
      <c r="M146" s="290"/>
      <c r="N146" s="290"/>
      <c r="O146" s="290"/>
      <c r="P146" s="290"/>
      <c r="Q146" s="290"/>
      <c r="R146" s="290"/>
      <c r="S146" s="290"/>
      <c r="T146" s="290"/>
      <c r="U146" s="290"/>
      <c r="V146" s="290"/>
      <c r="W146" s="290"/>
      <c r="X146" s="290"/>
      <c r="Y146" s="290"/>
      <c r="Z146" s="290"/>
      <c r="AA146" s="290"/>
      <c r="AB146" s="290"/>
      <c r="AC146" s="290"/>
      <c r="AD146" s="290"/>
      <c r="AE146" s="290"/>
      <c r="AF146" s="290"/>
      <c r="AG146" s="290"/>
      <c r="AH146" s="290"/>
    </row>
    <row r="147" spans="1:34">
      <c r="A147" s="290"/>
      <c r="B147" s="290"/>
      <c r="C147" s="290"/>
      <c r="D147" s="290"/>
      <c r="E147" s="290"/>
      <c r="F147" s="290"/>
      <c r="G147" s="290"/>
      <c r="H147" s="290"/>
      <c r="I147" s="290"/>
      <c r="J147" s="290"/>
      <c r="K147" s="290"/>
      <c r="L147" s="290"/>
      <c r="M147" s="290"/>
      <c r="N147" s="290"/>
      <c r="O147" s="290"/>
      <c r="P147" s="290"/>
      <c r="Q147" s="290"/>
      <c r="R147" s="290"/>
      <c r="S147" s="290"/>
      <c r="T147" s="290"/>
      <c r="U147" s="290"/>
      <c r="V147" s="290"/>
      <c r="W147" s="290"/>
      <c r="X147" s="290"/>
      <c r="Y147" s="290"/>
      <c r="Z147" s="290"/>
      <c r="AA147" s="290"/>
      <c r="AB147" s="290"/>
      <c r="AC147" s="290"/>
      <c r="AD147" s="290"/>
      <c r="AE147" s="290"/>
      <c r="AF147" s="290"/>
      <c r="AG147" s="290"/>
      <c r="AH147" s="290"/>
    </row>
    <row r="148" spans="1:34">
      <c r="A148" s="290"/>
      <c r="B148" s="290"/>
      <c r="C148" s="290"/>
      <c r="D148" s="290"/>
      <c r="E148" s="290"/>
      <c r="F148" s="290"/>
      <c r="G148" s="290"/>
      <c r="H148" s="290"/>
      <c r="I148" s="290"/>
      <c r="J148" s="290"/>
      <c r="K148" s="290"/>
      <c r="L148" s="290"/>
      <c r="M148" s="290"/>
      <c r="N148" s="290"/>
      <c r="O148" s="290"/>
      <c r="P148" s="290"/>
      <c r="Q148" s="290"/>
      <c r="R148" s="290"/>
      <c r="S148" s="290"/>
      <c r="T148" s="290"/>
      <c r="U148" s="290"/>
      <c r="V148" s="290"/>
      <c r="W148" s="290"/>
      <c r="X148" s="290"/>
      <c r="Y148" s="290"/>
      <c r="Z148" s="290"/>
      <c r="AA148" s="290"/>
      <c r="AB148" s="290"/>
      <c r="AC148" s="290"/>
      <c r="AD148" s="290"/>
      <c r="AE148" s="290"/>
      <c r="AF148" s="290"/>
      <c r="AG148" s="290"/>
      <c r="AH148" s="290"/>
    </row>
    <row r="149" spans="1:34">
      <c r="A149" s="290"/>
      <c r="B149" s="290"/>
      <c r="C149" s="290"/>
      <c r="D149" s="290"/>
      <c r="E149" s="290"/>
      <c r="F149" s="290"/>
      <c r="G149" s="290"/>
      <c r="H149" s="290"/>
      <c r="I149" s="290"/>
      <c r="J149" s="290"/>
      <c r="K149" s="290"/>
      <c r="L149" s="290"/>
      <c r="M149" s="290"/>
      <c r="N149" s="290"/>
      <c r="O149" s="290"/>
      <c r="P149" s="290"/>
      <c r="Q149" s="290"/>
      <c r="R149" s="290"/>
      <c r="S149" s="290"/>
      <c r="T149" s="290"/>
      <c r="U149" s="290"/>
      <c r="V149" s="290"/>
      <c r="W149" s="290"/>
      <c r="X149" s="290"/>
      <c r="Y149" s="290"/>
      <c r="Z149" s="290"/>
      <c r="AA149" s="290"/>
      <c r="AB149" s="290"/>
      <c r="AC149" s="290"/>
      <c r="AD149" s="290"/>
      <c r="AE149" s="290"/>
      <c r="AF149" s="290"/>
      <c r="AG149" s="290"/>
      <c r="AH149" s="290"/>
    </row>
    <row r="150" spans="1:34">
      <c r="A150" s="290"/>
      <c r="B150" s="290"/>
      <c r="C150" s="290"/>
      <c r="D150" s="290"/>
      <c r="E150" s="290"/>
      <c r="F150" s="290"/>
      <c r="G150" s="290"/>
      <c r="H150" s="290"/>
      <c r="I150" s="290"/>
      <c r="J150" s="290"/>
      <c r="K150" s="290"/>
      <c r="L150" s="290"/>
      <c r="M150" s="290"/>
      <c r="N150" s="290"/>
      <c r="O150" s="290"/>
      <c r="P150" s="290"/>
      <c r="Q150" s="290"/>
      <c r="R150" s="290"/>
      <c r="S150" s="290"/>
      <c r="T150" s="290"/>
      <c r="U150" s="290"/>
      <c r="V150" s="290"/>
      <c r="W150" s="290"/>
      <c r="X150" s="290"/>
      <c r="Y150" s="290"/>
      <c r="Z150" s="290"/>
      <c r="AA150" s="290"/>
      <c r="AB150" s="290"/>
      <c r="AC150" s="290"/>
      <c r="AD150" s="290"/>
      <c r="AE150" s="290"/>
      <c r="AF150" s="290"/>
      <c r="AG150" s="290"/>
      <c r="AH150" s="290"/>
    </row>
    <row r="151" spans="1:34">
      <c r="A151" s="290"/>
      <c r="B151" s="290"/>
      <c r="C151" s="290"/>
      <c r="D151" s="290"/>
      <c r="E151" s="290"/>
      <c r="F151" s="290"/>
      <c r="G151" s="290"/>
      <c r="H151" s="290"/>
      <c r="I151" s="290"/>
      <c r="J151" s="290"/>
      <c r="K151" s="290"/>
      <c r="L151" s="290"/>
      <c r="M151" s="290"/>
      <c r="N151" s="290"/>
      <c r="O151" s="290"/>
      <c r="P151" s="290"/>
      <c r="Q151" s="290"/>
      <c r="R151" s="290"/>
      <c r="S151" s="290"/>
      <c r="T151" s="290"/>
      <c r="U151" s="290"/>
      <c r="V151" s="290"/>
      <c r="W151" s="290"/>
      <c r="X151" s="290"/>
      <c r="Y151" s="290"/>
      <c r="Z151" s="290"/>
      <c r="AA151" s="290"/>
      <c r="AB151" s="290"/>
      <c r="AC151" s="290"/>
      <c r="AD151" s="290"/>
      <c r="AE151" s="290"/>
      <c r="AF151" s="290"/>
      <c r="AG151" s="290"/>
      <c r="AH151" s="290"/>
    </row>
    <row r="152" spans="1:34">
      <c r="A152" s="290"/>
      <c r="B152" s="290"/>
      <c r="C152" s="290"/>
      <c r="D152" s="290"/>
      <c r="E152" s="290"/>
      <c r="F152" s="290"/>
      <c r="G152" s="290"/>
      <c r="H152" s="290"/>
      <c r="I152" s="290"/>
      <c r="J152" s="290"/>
      <c r="K152" s="290"/>
      <c r="L152" s="290"/>
      <c r="M152" s="290"/>
      <c r="N152" s="290"/>
      <c r="O152" s="290"/>
      <c r="P152" s="290"/>
      <c r="Q152" s="290"/>
      <c r="R152" s="290"/>
      <c r="S152" s="290"/>
      <c r="T152" s="290"/>
      <c r="U152" s="290"/>
      <c r="V152" s="290"/>
      <c r="W152" s="290"/>
      <c r="X152" s="290"/>
      <c r="Y152" s="290"/>
      <c r="Z152" s="290"/>
      <c r="AA152" s="290"/>
      <c r="AB152" s="290"/>
      <c r="AC152" s="290"/>
      <c r="AD152" s="290"/>
      <c r="AE152" s="290"/>
      <c r="AF152" s="290"/>
      <c r="AG152" s="290"/>
      <c r="AH152" s="290"/>
    </row>
    <row r="153" spans="1:34">
      <c r="A153" s="290"/>
      <c r="B153" s="290"/>
      <c r="C153" s="290"/>
      <c r="D153" s="290"/>
      <c r="E153" s="290"/>
      <c r="F153" s="290"/>
      <c r="G153" s="290"/>
      <c r="H153" s="290"/>
      <c r="I153" s="290"/>
      <c r="J153" s="290"/>
      <c r="K153" s="290"/>
      <c r="L153" s="290"/>
      <c r="M153" s="290"/>
      <c r="N153" s="290"/>
      <c r="O153" s="290"/>
      <c r="P153" s="290"/>
      <c r="Q153" s="290"/>
      <c r="R153" s="290"/>
      <c r="S153" s="290"/>
      <c r="T153" s="290"/>
      <c r="U153" s="290"/>
      <c r="V153" s="290"/>
      <c r="W153" s="290"/>
      <c r="X153" s="290"/>
      <c r="Y153" s="290"/>
      <c r="Z153" s="290"/>
      <c r="AA153" s="290"/>
      <c r="AB153" s="290"/>
      <c r="AC153" s="290"/>
      <c r="AD153" s="290"/>
      <c r="AE153" s="290"/>
      <c r="AF153" s="290"/>
      <c r="AG153" s="290"/>
      <c r="AH153" s="290"/>
    </row>
    <row r="154" spans="1:34">
      <c r="A154" s="290"/>
      <c r="B154" s="290"/>
      <c r="C154" s="290"/>
      <c r="D154" s="290"/>
      <c r="E154" s="290"/>
      <c r="F154" s="290"/>
      <c r="G154" s="290"/>
      <c r="H154" s="290"/>
      <c r="I154" s="290"/>
      <c r="J154" s="290"/>
      <c r="K154" s="290"/>
      <c r="L154" s="290"/>
      <c r="M154" s="290"/>
      <c r="N154" s="290"/>
      <c r="O154" s="290"/>
      <c r="P154" s="290"/>
      <c r="Q154" s="290"/>
      <c r="R154" s="290"/>
      <c r="S154" s="290"/>
      <c r="T154" s="290"/>
      <c r="U154" s="290"/>
      <c r="V154" s="290"/>
      <c r="W154" s="290"/>
      <c r="X154" s="290"/>
      <c r="Y154" s="290"/>
      <c r="Z154" s="290"/>
      <c r="AA154" s="290"/>
      <c r="AB154" s="290"/>
      <c r="AC154" s="290"/>
      <c r="AD154" s="290"/>
      <c r="AE154" s="290"/>
      <c r="AF154" s="290"/>
      <c r="AG154" s="290"/>
      <c r="AH154" s="290"/>
    </row>
    <row r="155" spans="1:34">
      <c r="A155" s="290"/>
      <c r="B155" s="290"/>
      <c r="C155" s="290"/>
      <c r="D155" s="290"/>
      <c r="E155" s="290"/>
      <c r="F155" s="290"/>
      <c r="G155" s="290"/>
      <c r="H155" s="290"/>
      <c r="I155" s="290"/>
      <c r="J155" s="290"/>
      <c r="K155" s="290"/>
      <c r="L155" s="290"/>
      <c r="M155" s="290"/>
      <c r="N155" s="290"/>
      <c r="O155" s="290"/>
      <c r="P155" s="290"/>
      <c r="Q155" s="290"/>
      <c r="R155" s="290"/>
      <c r="S155" s="290"/>
      <c r="T155" s="290"/>
      <c r="U155" s="290"/>
      <c r="V155" s="290"/>
      <c r="W155" s="290"/>
      <c r="X155" s="290"/>
      <c r="Y155" s="290"/>
      <c r="Z155" s="290"/>
      <c r="AA155" s="290"/>
      <c r="AB155" s="290"/>
      <c r="AC155" s="290"/>
      <c r="AD155" s="290"/>
      <c r="AE155" s="290"/>
      <c r="AF155" s="290"/>
      <c r="AG155" s="290"/>
      <c r="AH155" s="290"/>
    </row>
    <row r="156" spans="1:34">
      <c r="A156" s="290"/>
      <c r="B156" s="290"/>
      <c r="C156" s="290"/>
      <c r="D156" s="290"/>
      <c r="E156" s="290"/>
      <c r="F156" s="290"/>
      <c r="G156" s="290"/>
      <c r="H156" s="290"/>
      <c r="I156" s="290"/>
      <c r="J156" s="290"/>
      <c r="K156" s="290"/>
      <c r="L156" s="290"/>
      <c r="M156" s="290"/>
      <c r="N156" s="290"/>
      <c r="O156" s="290"/>
      <c r="P156" s="290"/>
      <c r="Q156" s="290"/>
      <c r="R156" s="290"/>
      <c r="S156" s="290"/>
      <c r="T156" s="290"/>
      <c r="U156" s="290"/>
      <c r="V156" s="290"/>
      <c r="W156" s="290"/>
      <c r="X156" s="290"/>
      <c r="Y156" s="290"/>
      <c r="Z156" s="290"/>
      <c r="AA156" s="290"/>
      <c r="AB156" s="290"/>
      <c r="AC156" s="290"/>
      <c r="AD156" s="290"/>
      <c r="AE156" s="290"/>
      <c r="AF156" s="290"/>
      <c r="AG156" s="290"/>
      <c r="AH156" s="290"/>
    </row>
    <row r="157" spans="1:34">
      <c r="A157" s="290"/>
      <c r="B157" s="290"/>
      <c r="C157" s="290"/>
      <c r="D157" s="290"/>
      <c r="E157" s="290"/>
      <c r="F157" s="290"/>
      <c r="G157" s="290"/>
      <c r="H157" s="290"/>
      <c r="I157" s="290"/>
      <c r="J157" s="290"/>
      <c r="K157" s="290"/>
      <c r="L157" s="290"/>
      <c r="M157" s="290"/>
      <c r="N157" s="290"/>
      <c r="O157" s="290"/>
      <c r="P157" s="290"/>
      <c r="Q157" s="290"/>
      <c r="R157" s="290"/>
      <c r="S157" s="290"/>
      <c r="T157" s="290"/>
      <c r="U157" s="290"/>
      <c r="V157" s="290"/>
      <c r="W157" s="290"/>
      <c r="X157" s="290"/>
      <c r="Y157" s="290"/>
      <c r="Z157" s="290"/>
      <c r="AA157" s="290"/>
      <c r="AB157" s="290"/>
      <c r="AC157" s="290"/>
      <c r="AD157" s="290"/>
      <c r="AE157" s="290"/>
      <c r="AF157" s="290"/>
      <c r="AG157" s="290"/>
      <c r="AH157" s="290"/>
    </row>
    <row r="158" spans="1:34">
      <c r="A158" s="290"/>
      <c r="B158" s="290"/>
      <c r="C158" s="290"/>
      <c r="D158" s="290"/>
      <c r="E158" s="290"/>
      <c r="F158" s="290"/>
      <c r="G158" s="290"/>
      <c r="H158" s="290"/>
      <c r="I158" s="290"/>
      <c r="J158" s="290"/>
      <c r="K158" s="290"/>
      <c r="L158" s="290"/>
      <c r="M158" s="290"/>
      <c r="N158" s="290"/>
      <c r="O158" s="290"/>
      <c r="P158" s="290"/>
      <c r="Q158" s="290"/>
      <c r="R158" s="290"/>
      <c r="S158" s="290"/>
      <c r="T158" s="290"/>
      <c r="U158" s="290"/>
      <c r="V158" s="290"/>
      <c r="W158" s="290"/>
      <c r="X158" s="290"/>
      <c r="Y158" s="290"/>
      <c r="Z158" s="290"/>
      <c r="AA158" s="290"/>
      <c r="AB158" s="290"/>
      <c r="AC158" s="290"/>
      <c r="AD158" s="290"/>
      <c r="AE158" s="290"/>
      <c r="AF158" s="290"/>
      <c r="AG158" s="290"/>
      <c r="AH158" s="290"/>
    </row>
    <row r="159" spans="1:34">
      <c r="A159" s="290"/>
      <c r="B159" s="290"/>
      <c r="C159" s="290"/>
      <c r="D159" s="290"/>
      <c r="E159" s="290"/>
      <c r="F159" s="290"/>
      <c r="G159" s="290"/>
      <c r="H159" s="290"/>
      <c r="I159" s="290"/>
      <c r="J159" s="290"/>
      <c r="K159" s="290"/>
      <c r="L159" s="290"/>
      <c r="M159" s="290"/>
      <c r="N159" s="290"/>
      <c r="O159" s="290"/>
      <c r="P159" s="290"/>
      <c r="Q159" s="290"/>
      <c r="R159" s="290"/>
      <c r="S159" s="290"/>
      <c r="T159" s="290"/>
      <c r="U159" s="290"/>
      <c r="V159" s="290"/>
      <c r="W159" s="290"/>
      <c r="X159" s="290"/>
      <c r="Y159" s="290"/>
      <c r="Z159" s="290"/>
      <c r="AA159" s="290"/>
      <c r="AB159" s="290"/>
      <c r="AC159" s="290"/>
      <c r="AD159" s="290"/>
      <c r="AE159" s="290"/>
      <c r="AF159" s="290"/>
      <c r="AG159" s="290"/>
      <c r="AH159" s="290"/>
    </row>
    <row r="160" spans="1:34">
      <c r="A160" s="290"/>
      <c r="B160" s="290"/>
      <c r="C160" s="290"/>
      <c r="D160" s="290"/>
      <c r="E160" s="290"/>
      <c r="F160" s="290"/>
      <c r="G160" s="290"/>
      <c r="H160" s="290"/>
      <c r="I160" s="290"/>
      <c r="J160" s="290"/>
      <c r="K160" s="290"/>
      <c r="L160" s="290"/>
      <c r="M160" s="290"/>
      <c r="N160" s="290"/>
      <c r="O160" s="290"/>
      <c r="P160" s="290"/>
      <c r="Q160" s="290"/>
      <c r="R160" s="290"/>
      <c r="S160" s="290"/>
      <c r="T160" s="290"/>
      <c r="U160" s="290"/>
      <c r="V160" s="290"/>
      <c r="W160" s="290"/>
      <c r="X160" s="290"/>
      <c r="Y160" s="290"/>
      <c r="Z160" s="290"/>
      <c r="AA160" s="290"/>
      <c r="AB160" s="290"/>
      <c r="AC160" s="290"/>
      <c r="AD160" s="290"/>
      <c r="AE160" s="290"/>
      <c r="AF160" s="290"/>
      <c r="AG160" s="290"/>
      <c r="AH160" s="290"/>
    </row>
    <row r="161" spans="1:34">
      <c r="A161" s="290"/>
      <c r="B161" s="290"/>
      <c r="C161" s="290"/>
      <c r="D161" s="290"/>
      <c r="E161" s="290"/>
      <c r="F161" s="290"/>
      <c r="G161" s="290"/>
      <c r="H161" s="290"/>
      <c r="I161" s="290"/>
      <c r="J161" s="290"/>
      <c r="K161" s="290"/>
      <c r="L161" s="290"/>
      <c r="M161" s="290"/>
      <c r="N161" s="290"/>
      <c r="O161" s="290"/>
      <c r="P161" s="290"/>
      <c r="Q161" s="290"/>
      <c r="R161" s="290"/>
      <c r="S161" s="290"/>
      <c r="T161" s="290"/>
      <c r="U161" s="290"/>
      <c r="V161" s="290"/>
      <c r="W161" s="290"/>
      <c r="X161" s="290"/>
      <c r="Y161" s="290"/>
      <c r="Z161" s="290"/>
      <c r="AA161" s="290"/>
      <c r="AB161" s="290"/>
      <c r="AC161" s="290"/>
      <c r="AD161" s="290"/>
      <c r="AE161" s="290"/>
      <c r="AF161" s="290"/>
      <c r="AG161" s="290"/>
      <c r="AH161" s="290"/>
    </row>
    <row r="162" spans="1:34">
      <c r="A162" s="290"/>
      <c r="B162" s="290"/>
      <c r="C162" s="290"/>
      <c r="D162" s="290"/>
      <c r="E162" s="290"/>
      <c r="F162" s="290"/>
      <c r="G162" s="290"/>
      <c r="H162" s="290"/>
      <c r="I162" s="290"/>
      <c r="J162" s="290"/>
      <c r="K162" s="290"/>
      <c r="L162" s="290"/>
      <c r="M162" s="290"/>
      <c r="N162" s="290"/>
      <c r="O162" s="290"/>
      <c r="P162" s="290"/>
      <c r="Q162" s="290"/>
      <c r="R162" s="290"/>
      <c r="S162" s="290"/>
      <c r="T162" s="290"/>
      <c r="U162" s="290"/>
      <c r="V162" s="290"/>
      <c r="W162" s="290"/>
      <c r="X162" s="290"/>
      <c r="Y162" s="290"/>
      <c r="Z162" s="290"/>
      <c r="AA162" s="290"/>
      <c r="AB162" s="290"/>
      <c r="AC162" s="290"/>
      <c r="AD162" s="290"/>
      <c r="AE162" s="290"/>
      <c r="AF162" s="290"/>
      <c r="AG162" s="290"/>
      <c r="AH162" s="290"/>
    </row>
    <row r="163" spans="1:34">
      <c r="A163" s="290"/>
      <c r="B163" s="290"/>
      <c r="C163" s="290"/>
      <c r="D163" s="290"/>
      <c r="E163" s="290"/>
      <c r="F163" s="290"/>
      <c r="G163" s="290"/>
      <c r="H163" s="290"/>
      <c r="I163" s="290"/>
      <c r="J163" s="290"/>
      <c r="K163" s="290"/>
      <c r="L163" s="290"/>
      <c r="M163" s="290"/>
      <c r="N163" s="290"/>
      <c r="O163" s="290"/>
      <c r="P163" s="290"/>
      <c r="Q163" s="290"/>
      <c r="R163" s="290"/>
      <c r="S163" s="290"/>
      <c r="T163" s="290"/>
      <c r="U163" s="290"/>
      <c r="V163" s="290"/>
      <c r="W163" s="290"/>
      <c r="X163" s="290"/>
      <c r="Y163" s="290"/>
      <c r="Z163" s="290"/>
      <c r="AA163" s="290"/>
      <c r="AB163" s="290"/>
      <c r="AC163" s="290"/>
      <c r="AD163" s="290"/>
      <c r="AE163" s="290"/>
      <c r="AF163" s="290"/>
      <c r="AG163" s="290"/>
      <c r="AH163" s="290"/>
    </row>
    <row r="164" spans="1:34">
      <c r="A164" s="290"/>
      <c r="B164" s="290"/>
      <c r="C164" s="290"/>
      <c r="D164" s="290"/>
      <c r="E164" s="290"/>
      <c r="F164" s="290"/>
      <c r="G164" s="290"/>
      <c r="H164" s="290"/>
      <c r="I164" s="290"/>
      <c r="J164" s="290"/>
      <c r="K164" s="290"/>
      <c r="L164" s="290"/>
      <c r="M164" s="290"/>
      <c r="N164" s="290"/>
      <c r="O164" s="290"/>
      <c r="P164" s="290"/>
      <c r="Q164" s="290"/>
      <c r="R164" s="290"/>
      <c r="S164" s="290"/>
      <c r="T164" s="290"/>
      <c r="U164" s="290"/>
      <c r="V164" s="290"/>
      <c r="W164" s="290"/>
      <c r="X164" s="290"/>
      <c r="Y164" s="290"/>
      <c r="Z164" s="290"/>
      <c r="AA164" s="290"/>
      <c r="AB164" s="290"/>
      <c r="AC164" s="290"/>
      <c r="AD164" s="290"/>
      <c r="AE164" s="290"/>
      <c r="AF164" s="290"/>
      <c r="AG164" s="290"/>
      <c r="AH164" s="290"/>
    </row>
    <row r="165" spans="1:34">
      <c r="A165" s="290"/>
      <c r="B165" s="290"/>
      <c r="C165" s="290"/>
      <c r="D165" s="290"/>
      <c r="E165" s="290"/>
      <c r="F165" s="290"/>
      <c r="G165" s="290"/>
      <c r="H165" s="290"/>
      <c r="I165" s="290"/>
      <c r="J165" s="290"/>
      <c r="K165" s="290"/>
      <c r="L165" s="290"/>
      <c r="M165" s="290"/>
      <c r="N165" s="290"/>
      <c r="O165" s="290"/>
      <c r="P165" s="290"/>
      <c r="Q165" s="290"/>
      <c r="R165" s="290"/>
      <c r="S165" s="290"/>
      <c r="T165" s="290"/>
      <c r="U165" s="290"/>
      <c r="V165" s="290"/>
      <c r="W165" s="290"/>
      <c r="X165" s="290"/>
      <c r="Y165" s="290"/>
      <c r="Z165" s="290"/>
      <c r="AA165" s="290"/>
      <c r="AB165" s="290"/>
      <c r="AC165" s="290"/>
      <c r="AD165" s="290"/>
      <c r="AE165" s="290"/>
      <c r="AF165" s="290"/>
      <c r="AG165" s="290"/>
      <c r="AH165" s="290"/>
    </row>
    <row r="166" spans="1:34">
      <c r="A166" s="290"/>
      <c r="B166" s="290"/>
      <c r="C166" s="290"/>
      <c r="D166" s="290"/>
      <c r="E166" s="290"/>
      <c r="F166" s="290"/>
      <c r="G166" s="290"/>
      <c r="H166" s="290"/>
      <c r="I166" s="290"/>
      <c r="J166" s="290"/>
      <c r="K166" s="290"/>
      <c r="L166" s="290"/>
      <c r="M166" s="290"/>
      <c r="N166" s="290"/>
      <c r="O166" s="290"/>
      <c r="P166" s="290"/>
      <c r="Q166" s="290"/>
      <c r="R166" s="290"/>
      <c r="S166" s="290"/>
      <c r="T166" s="290"/>
      <c r="U166" s="290"/>
      <c r="V166" s="290"/>
      <c r="W166" s="290"/>
      <c r="X166" s="290"/>
      <c r="Y166" s="290"/>
      <c r="Z166" s="290"/>
      <c r="AA166" s="290"/>
      <c r="AB166" s="290"/>
      <c r="AC166" s="290"/>
      <c r="AD166" s="290"/>
      <c r="AE166" s="290"/>
      <c r="AF166" s="290"/>
      <c r="AG166" s="290"/>
      <c r="AH166" s="290"/>
    </row>
    <row r="167" spans="1:34">
      <c r="A167" s="290"/>
      <c r="B167" s="290"/>
      <c r="C167" s="290"/>
      <c r="D167" s="290"/>
      <c r="E167" s="290"/>
      <c r="F167" s="290"/>
      <c r="G167" s="290"/>
      <c r="H167" s="290"/>
      <c r="I167" s="290"/>
      <c r="J167" s="290"/>
      <c r="K167" s="290"/>
      <c r="L167" s="290"/>
      <c r="M167" s="290"/>
      <c r="N167" s="290"/>
      <c r="O167" s="290"/>
      <c r="P167" s="290"/>
      <c r="Q167" s="290"/>
      <c r="R167" s="290"/>
      <c r="S167" s="290"/>
      <c r="T167" s="290"/>
      <c r="U167" s="290"/>
      <c r="V167" s="290"/>
      <c r="W167" s="290"/>
      <c r="X167" s="290"/>
      <c r="Y167" s="290"/>
      <c r="Z167" s="290"/>
      <c r="AA167" s="290"/>
      <c r="AB167" s="290"/>
      <c r="AC167" s="290"/>
      <c r="AD167" s="290"/>
      <c r="AE167" s="290"/>
      <c r="AF167" s="290"/>
      <c r="AG167" s="290"/>
      <c r="AH167" s="290"/>
    </row>
    <row r="168" spans="1:34">
      <c r="A168" s="290"/>
      <c r="B168" s="290"/>
      <c r="C168" s="290"/>
      <c r="D168" s="290"/>
      <c r="E168" s="290"/>
      <c r="F168" s="290"/>
      <c r="G168" s="290"/>
      <c r="H168" s="290"/>
      <c r="I168" s="290"/>
      <c r="J168" s="290"/>
      <c r="K168" s="290"/>
      <c r="L168" s="290"/>
      <c r="M168" s="290"/>
      <c r="N168" s="290"/>
      <c r="O168" s="290"/>
      <c r="P168" s="290"/>
      <c r="Q168" s="290"/>
      <c r="R168" s="290"/>
      <c r="S168" s="290"/>
      <c r="T168" s="290"/>
      <c r="U168" s="290"/>
      <c r="V168" s="290"/>
      <c r="W168" s="290"/>
      <c r="X168" s="290"/>
      <c r="Y168" s="290"/>
      <c r="Z168" s="290"/>
      <c r="AA168" s="290"/>
      <c r="AB168" s="290"/>
      <c r="AC168" s="290"/>
      <c r="AD168" s="290"/>
      <c r="AE168" s="290"/>
      <c r="AF168" s="290"/>
      <c r="AG168" s="290"/>
      <c r="AH168" s="290"/>
    </row>
    <row r="169" spans="1:34">
      <c r="A169" s="290"/>
      <c r="B169" s="290"/>
      <c r="C169" s="290"/>
      <c r="D169" s="290"/>
      <c r="E169" s="290"/>
      <c r="F169" s="290"/>
      <c r="G169" s="290"/>
      <c r="H169" s="290"/>
      <c r="I169" s="290"/>
      <c r="J169" s="290"/>
      <c r="K169" s="290"/>
      <c r="L169" s="290"/>
      <c r="M169" s="290"/>
      <c r="N169" s="290"/>
      <c r="O169" s="290"/>
      <c r="P169" s="290"/>
      <c r="Q169" s="290"/>
      <c r="R169" s="290"/>
      <c r="S169" s="290"/>
      <c r="T169" s="290"/>
      <c r="U169" s="290"/>
      <c r="V169" s="290"/>
      <c r="W169" s="290"/>
      <c r="X169" s="290"/>
      <c r="Y169" s="290"/>
      <c r="Z169" s="290"/>
      <c r="AA169" s="290"/>
      <c r="AB169" s="290"/>
      <c r="AC169" s="290"/>
      <c r="AD169" s="290"/>
      <c r="AE169" s="290"/>
      <c r="AF169" s="290"/>
      <c r="AG169" s="290"/>
      <c r="AH169" s="290"/>
    </row>
    <row r="170" spans="1:34">
      <c r="A170" s="290"/>
      <c r="B170" s="290"/>
      <c r="C170" s="290"/>
      <c r="D170" s="290"/>
      <c r="E170" s="290"/>
      <c r="F170" s="290"/>
      <c r="G170" s="290"/>
      <c r="H170" s="290"/>
      <c r="I170" s="290"/>
      <c r="J170" s="290"/>
      <c r="K170" s="290"/>
      <c r="L170" s="290"/>
      <c r="M170" s="290"/>
      <c r="N170" s="290"/>
      <c r="O170" s="290"/>
      <c r="P170" s="290"/>
      <c r="Q170" s="290"/>
      <c r="R170" s="290"/>
      <c r="S170" s="290"/>
      <c r="T170" s="290"/>
      <c r="U170" s="290"/>
      <c r="V170" s="290"/>
      <c r="W170" s="290"/>
      <c r="X170" s="290"/>
      <c r="Y170" s="290"/>
      <c r="Z170" s="290"/>
      <c r="AA170" s="290"/>
      <c r="AB170" s="290"/>
      <c r="AC170" s="290"/>
      <c r="AD170" s="290"/>
      <c r="AE170" s="290"/>
      <c r="AF170" s="290"/>
      <c r="AG170" s="290"/>
      <c r="AH170" s="290"/>
    </row>
    <row r="171" spans="1:34">
      <c r="A171" s="290"/>
      <c r="B171" s="290"/>
      <c r="C171" s="290"/>
      <c r="D171" s="290"/>
      <c r="E171" s="290"/>
      <c r="F171" s="290"/>
      <c r="G171" s="290"/>
      <c r="H171" s="290"/>
      <c r="I171" s="290"/>
      <c r="J171" s="290"/>
      <c r="K171" s="290"/>
      <c r="L171" s="290"/>
      <c r="M171" s="290"/>
      <c r="N171" s="290"/>
      <c r="O171" s="290"/>
      <c r="P171" s="290"/>
      <c r="Q171" s="290"/>
      <c r="R171" s="290"/>
      <c r="S171" s="290"/>
      <c r="T171" s="290"/>
      <c r="U171" s="290"/>
      <c r="V171" s="290"/>
      <c r="W171" s="290"/>
      <c r="X171" s="290"/>
      <c r="Y171" s="290"/>
      <c r="Z171" s="290"/>
      <c r="AA171" s="290"/>
      <c r="AB171" s="290"/>
      <c r="AC171" s="290"/>
      <c r="AD171" s="290"/>
      <c r="AE171" s="290"/>
      <c r="AF171" s="290"/>
      <c r="AG171" s="290"/>
      <c r="AH171" s="290"/>
    </row>
    <row r="172" spans="1:34">
      <c r="A172" s="290"/>
      <c r="B172" s="290"/>
      <c r="C172" s="290"/>
      <c r="D172" s="290"/>
      <c r="E172" s="290"/>
      <c r="F172" s="290"/>
      <c r="G172" s="290"/>
      <c r="H172" s="290"/>
      <c r="I172" s="290"/>
      <c r="J172" s="290"/>
      <c r="K172" s="290"/>
      <c r="L172" s="290"/>
      <c r="M172" s="290"/>
      <c r="N172" s="290"/>
      <c r="O172" s="290"/>
      <c r="P172" s="290"/>
      <c r="Q172" s="290"/>
      <c r="R172" s="290"/>
      <c r="S172" s="290"/>
      <c r="T172" s="290"/>
      <c r="U172" s="290"/>
      <c r="V172" s="290"/>
      <c r="W172" s="290"/>
      <c r="X172" s="290"/>
      <c r="Y172" s="290"/>
      <c r="Z172" s="290"/>
      <c r="AA172" s="290"/>
      <c r="AB172" s="290"/>
      <c r="AC172" s="290"/>
      <c r="AD172" s="290"/>
      <c r="AE172" s="290"/>
      <c r="AF172" s="290"/>
      <c r="AG172" s="290"/>
      <c r="AH172" s="290"/>
    </row>
    <row r="173" spans="1:34">
      <c r="A173" s="290"/>
      <c r="B173" s="290"/>
      <c r="C173" s="290"/>
      <c r="D173" s="290"/>
      <c r="E173" s="290"/>
      <c r="F173" s="290"/>
      <c r="G173" s="290"/>
      <c r="H173" s="290"/>
      <c r="I173" s="290"/>
      <c r="J173" s="290"/>
      <c r="K173" s="290"/>
      <c r="L173" s="290"/>
      <c r="M173" s="290"/>
      <c r="N173" s="290"/>
      <c r="O173" s="290"/>
      <c r="P173" s="290"/>
      <c r="Q173" s="290"/>
      <c r="R173" s="290"/>
      <c r="S173" s="290"/>
      <c r="T173" s="290"/>
      <c r="U173" s="290"/>
      <c r="V173" s="290"/>
      <c r="W173" s="290"/>
      <c r="X173" s="290"/>
      <c r="Y173" s="290"/>
      <c r="Z173" s="290"/>
      <c r="AA173" s="290"/>
      <c r="AB173" s="290"/>
      <c r="AC173" s="290"/>
      <c r="AD173" s="290"/>
      <c r="AE173" s="290"/>
      <c r="AF173" s="290"/>
      <c r="AG173" s="290"/>
      <c r="AH173" s="290"/>
    </row>
    <row r="174" spans="1:34">
      <c r="A174" s="290"/>
      <c r="B174" s="290"/>
      <c r="C174" s="290"/>
      <c r="D174" s="290"/>
      <c r="E174" s="290"/>
      <c r="F174" s="290"/>
      <c r="G174" s="290"/>
      <c r="H174" s="290"/>
      <c r="I174" s="290"/>
      <c r="J174" s="290"/>
      <c r="K174" s="290"/>
      <c r="L174" s="290"/>
      <c r="M174" s="290"/>
      <c r="N174" s="290"/>
      <c r="O174" s="290"/>
      <c r="P174" s="290"/>
      <c r="Q174" s="290"/>
      <c r="R174" s="290"/>
      <c r="S174" s="290"/>
      <c r="T174" s="290"/>
      <c r="U174" s="290"/>
      <c r="V174" s="290"/>
      <c r="W174" s="290"/>
      <c r="X174" s="290"/>
      <c r="Y174" s="290"/>
      <c r="Z174" s="290"/>
      <c r="AA174" s="290"/>
      <c r="AB174" s="290"/>
      <c r="AC174" s="290"/>
      <c r="AD174" s="290"/>
      <c r="AE174" s="290"/>
      <c r="AF174" s="290"/>
      <c r="AG174" s="290"/>
      <c r="AH174" s="290"/>
    </row>
    <row r="175" spans="1:34">
      <c r="A175" s="290"/>
      <c r="B175" s="290"/>
      <c r="C175" s="290"/>
      <c r="D175" s="290"/>
      <c r="E175" s="290"/>
      <c r="F175" s="290"/>
      <c r="G175" s="290"/>
      <c r="H175" s="290"/>
      <c r="I175" s="290"/>
      <c r="J175" s="290"/>
      <c r="K175" s="290"/>
      <c r="L175" s="290"/>
      <c r="M175" s="290"/>
      <c r="N175" s="290"/>
      <c r="O175" s="290"/>
      <c r="P175" s="290"/>
      <c r="Q175" s="290"/>
      <c r="R175" s="290"/>
      <c r="S175" s="290"/>
      <c r="T175" s="290"/>
      <c r="U175" s="290"/>
      <c r="V175" s="290"/>
      <c r="W175" s="290"/>
      <c r="X175" s="290"/>
      <c r="Y175" s="290"/>
      <c r="Z175" s="290"/>
      <c r="AA175" s="290"/>
      <c r="AB175" s="290"/>
      <c r="AC175" s="290"/>
      <c r="AD175" s="290"/>
      <c r="AE175" s="290"/>
      <c r="AF175" s="290"/>
      <c r="AG175" s="290"/>
      <c r="AH175" s="290"/>
    </row>
    <row r="176" spans="1:34">
      <c r="A176" s="290"/>
      <c r="B176" s="290"/>
      <c r="C176" s="290"/>
      <c r="D176" s="290"/>
      <c r="E176" s="290"/>
      <c r="F176" s="290"/>
      <c r="G176" s="290"/>
      <c r="H176" s="290"/>
      <c r="I176" s="290"/>
      <c r="J176" s="290"/>
      <c r="K176" s="290"/>
      <c r="L176" s="290"/>
      <c r="M176" s="290"/>
      <c r="N176" s="290"/>
      <c r="O176" s="290"/>
      <c r="P176" s="290"/>
      <c r="Q176" s="290"/>
      <c r="R176" s="290"/>
      <c r="S176" s="290"/>
      <c r="T176" s="290"/>
      <c r="U176" s="290"/>
      <c r="V176" s="290"/>
      <c r="W176" s="290"/>
      <c r="X176" s="290"/>
      <c r="Y176" s="290"/>
      <c r="Z176" s="290"/>
      <c r="AA176" s="290"/>
      <c r="AB176" s="290"/>
      <c r="AC176" s="290"/>
      <c r="AD176" s="290"/>
      <c r="AE176" s="290"/>
      <c r="AF176" s="290"/>
      <c r="AG176" s="290"/>
      <c r="AH176" s="290"/>
    </row>
    <row r="177" spans="1:34">
      <c r="A177" s="290"/>
      <c r="B177" s="290"/>
      <c r="C177" s="290"/>
      <c r="D177" s="290"/>
      <c r="E177" s="290"/>
      <c r="F177" s="290"/>
      <c r="G177" s="290"/>
      <c r="H177" s="290"/>
      <c r="I177" s="290"/>
      <c r="J177" s="290"/>
      <c r="K177" s="290"/>
      <c r="L177" s="290"/>
      <c r="M177" s="290"/>
      <c r="N177" s="290"/>
      <c r="O177" s="290"/>
      <c r="P177" s="290"/>
      <c r="Q177" s="290"/>
      <c r="R177" s="290"/>
      <c r="S177" s="290"/>
      <c r="T177" s="290"/>
      <c r="U177" s="290"/>
      <c r="V177" s="290"/>
      <c r="W177" s="290"/>
      <c r="X177" s="290"/>
      <c r="Y177" s="290"/>
      <c r="Z177" s="290"/>
      <c r="AA177" s="290"/>
      <c r="AB177" s="290"/>
      <c r="AC177" s="290"/>
      <c r="AD177" s="290"/>
      <c r="AE177" s="290"/>
      <c r="AF177" s="290"/>
      <c r="AG177" s="290"/>
      <c r="AH177" s="290"/>
    </row>
    <row r="178" spans="1:34">
      <c r="A178" s="290"/>
      <c r="B178" s="290"/>
      <c r="C178" s="290"/>
      <c r="D178" s="290"/>
      <c r="E178" s="290"/>
      <c r="F178" s="290"/>
      <c r="G178" s="290"/>
      <c r="H178" s="290"/>
      <c r="I178" s="290"/>
      <c r="J178" s="290"/>
      <c r="K178" s="290"/>
      <c r="L178" s="290"/>
      <c r="M178" s="290"/>
      <c r="N178" s="290"/>
      <c r="O178" s="290"/>
      <c r="P178" s="290"/>
      <c r="Q178" s="290"/>
      <c r="R178" s="290"/>
      <c r="S178" s="290"/>
      <c r="T178" s="290"/>
      <c r="U178" s="290"/>
      <c r="V178" s="290"/>
      <c r="W178" s="290"/>
      <c r="X178" s="290"/>
      <c r="Y178" s="290"/>
      <c r="Z178" s="290"/>
      <c r="AA178" s="290"/>
      <c r="AB178" s="290"/>
      <c r="AC178" s="290"/>
      <c r="AD178" s="290"/>
      <c r="AE178" s="290"/>
      <c r="AF178" s="290"/>
      <c r="AG178" s="290"/>
      <c r="AH178" s="290"/>
    </row>
    <row r="179" spans="1:34">
      <c r="A179" s="290"/>
      <c r="B179" s="290"/>
      <c r="C179" s="290"/>
      <c r="D179" s="290"/>
      <c r="E179" s="290"/>
      <c r="F179" s="290"/>
      <c r="G179" s="290"/>
      <c r="H179" s="290"/>
      <c r="I179" s="290"/>
      <c r="J179" s="290"/>
      <c r="K179" s="290"/>
      <c r="L179" s="290"/>
      <c r="M179" s="290"/>
      <c r="N179" s="290"/>
      <c r="O179" s="290"/>
      <c r="P179" s="290"/>
      <c r="Q179" s="290"/>
      <c r="R179" s="290"/>
      <c r="S179" s="290"/>
      <c r="T179" s="290"/>
      <c r="U179" s="290"/>
      <c r="V179" s="290"/>
      <c r="W179" s="290"/>
      <c r="X179" s="290"/>
      <c r="Y179" s="290"/>
      <c r="Z179" s="290"/>
      <c r="AA179" s="290"/>
      <c r="AB179" s="290"/>
      <c r="AC179" s="290"/>
      <c r="AD179" s="290"/>
      <c r="AE179" s="290"/>
      <c r="AF179" s="290"/>
      <c r="AG179" s="290"/>
      <c r="AH179" s="290"/>
    </row>
    <row r="180" spans="1:34">
      <c r="A180" s="290"/>
      <c r="B180" s="290"/>
      <c r="C180" s="290"/>
      <c r="D180" s="290"/>
      <c r="E180" s="290"/>
      <c r="F180" s="290"/>
      <c r="G180" s="290"/>
      <c r="H180" s="290"/>
      <c r="I180" s="290"/>
      <c r="J180" s="290"/>
      <c r="K180" s="290"/>
      <c r="L180" s="290"/>
      <c r="M180" s="290"/>
      <c r="N180" s="290"/>
      <c r="O180" s="290"/>
      <c r="P180" s="290"/>
      <c r="Q180" s="290"/>
      <c r="R180" s="290"/>
      <c r="S180" s="290"/>
      <c r="T180" s="290"/>
      <c r="U180" s="290"/>
      <c r="V180" s="290"/>
      <c r="W180" s="290"/>
      <c r="X180" s="290"/>
      <c r="Y180" s="290"/>
      <c r="Z180" s="290"/>
      <c r="AA180" s="290"/>
      <c r="AB180" s="290"/>
      <c r="AC180" s="290"/>
      <c r="AD180" s="290"/>
      <c r="AE180" s="290"/>
      <c r="AF180" s="290"/>
      <c r="AG180" s="290"/>
      <c r="AH180" s="290"/>
    </row>
    <row r="181" spans="1:34">
      <c r="A181" s="290"/>
      <c r="B181" s="290"/>
      <c r="C181" s="290"/>
      <c r="D181" s="290"/>
      <c r="E181" s="290"/>
      <c r="F181" s="290"/>
      <c r="G181" s="290"/>
      <c r="H181" s="290"/>
      <c r="I181" s="290"/>
      <c r="J181" s="290"/>
      <c r="K181" s="290"/>
      <c r="L181" s="290"/>
      <c r="M181" s="290"/>
      <c r="N181" s="290"/>
      <c r="O181" s="290"/>
      <c r="P181" s="290"/>
      <c r="Q181" s="290"/>
      <c r="R181" s="290"/>
      <c r="S181" s="290"/>
      <c r="T181" s="290"/>
      <c r="U181" s="290"/>
      <c r="V181" s="290"/>
      <c r="W181" s="290"/>
      <c r="X181" s="290"/>
      <c r="Y181" s="290"/>
      <c r="Z181" s="290"/>
      <c r="AA181" s="290"/>
      <c r="AB181" s="290"/>
      <c r="AC181" s="290"/>
      <c r="AD181" s="290"/>
      <c r="AE181" s="290"/>
      <c r="AF181" s="290"/>
      <c r="AG181" s="290"/>
      <c r="AH181" s="290"/>
    </row>
    <row r="182" spans="1:34">
      <c r="A182" s="290"/>
      <c r="B182" s="290"/>
      <c r="C182" s="290"/>
      <c r="D182" s="290"/>
      <c r="E182" s="290"/>
      <c r="F182" s="290"/>
      <c r="G182" s="290"/>
      <c r="H182" s="290"/>
      <c r="I182" s="290"/>
      <c r="J182" s="290"/>
      <c r="K182" s="290"/>
      <c r="L182" s="290"/>
      <c r="M182" s="290"/>
      <c r="N182" s="290"/>
      <c r="O182" s="290"/>
      <c r="P182" s="290"/>
      <c r="Q182" s="290"/>
      <c r="R182" s="290"/>
      <c r="S182" s="290"/>
      <c r="T182" s="290"/>
      <c r="U182" s="290"/>
      <c r="V182" s="290"/>
      <c r="W182" s="290"/>
      <c r="X182" s="290"/>
      <c r="Y182" s="290"/>
      <c r="Z182" s="290"/>
      <c r="AA182" s="290"/>
      <c r="AB182" s="290"/>
      <c r="AC182" s="290"/>
      <c r="AD182" s="290"/>
      <c r="AE182" s="290"/>
      <c r="AF182" s="290"/>
      <c r="AG182" s="290"/>
      <c r="AH182" s="290"/>
    </row>
    <row r="183" spans="1:34">
      <c r="A183" s="290"/>
      <c r="B183" s="290"/>
      <c r="C183" s="290"/>
      <c r="D183" s="290"/>
      <c r="E183" s="290"/>
      <c r="F183" s="290"/>
      <c r="G183" s="290"/>
      <c r="H183" s="290"/>
      <c r="I183" s="290"/>
      <c r="J183" s="290"/>
      <c r="K183" s="290"/>
      <c r="L183" s="290"/>
      <c r="M183" s="290"/>
      <c r="N183" s="290"/>
      <c r="O183" s="290"/>
      <c r="P183" s="290"/>
      <c r="Q183" s="290"/>
      <c r="R183" s="290"/>
      <c r="S183" s="290"/>
      <c r="T183" s="290"/>
      <c r="U183" s="290"/>
      <c r="V183" s="290"/>
      <c r="W183" s="290"/>
      <c r="X183" s="290"/>
      <c r="Y183" s="290"/>
      <c r="Z183" s="290"/>
      <c r="AA183" s="290"/>
      <c r="AB183" s="290"/>
      <c r="AC183" s="290"/>
      <c r="AD183" s="290"/>
      <c r="AE183" s="290"/>
      <c r="AF183" s="290"/>
      <c r="AG183" s="290"/>
      <c r="AH183" s="290"/>
    </row>
    <row r="184" spans="1:34">
      <c r="A184" s="290"/>
      <c r="B184" s="290"/>
      <c r="C184" s="290"/>
      <c r="D184" s="290"/>
      <c r="E184" s="290"/>
      <c r="F184" s="290"/>
      <c r="G184" s="290"/>
      <c r="H184" s="290"/>
      <c r="I184" s="290"/>
      <c r="J184" s="290"/>
      <c r="K184" s="290"/>
      <c r="L184" s="290"/>
      <c r="M184" s="290"/>
      <c r="N184" s="290"/>
      <c r="O184" s="290"/>
      <c r="P184" s="290"/>
      <c r="Q184" s="290"/>
      <c r="R184" s="290"/>
      <c r="S184" s="290"/>
      <c r="T184" s="290"/>
      <c r="U184" s="290"/>
      <c r="V184" s="290"/>
      <c r="W184" s="290"/>
      <c r="X184" s="290"/>
      <c r="Y184" s="290"/>
      <c r="Z184" s="290"/>
      <c r="AA184" s="290"/>
      <c r="AB184" s="290"/>
      <c r="AC184" s="290"/>
      <c r="AD184" s="290"/>
      <c r="AE184" s="290"/>
      <c r="AF184" s="290"/>
      <c r="AG184" s="290"/>
      <c r="AH184" s="290"/>
    </row>
    <row r="185" spans="1:34">
      <c r="A185" s="290"/>
      <c r="B185" s="290"/>
      <c r="C185" s="290"/>
      <c r="D185" s="290"/>
      <c r="E185" s="290"/>
      <c r="F185" s="290"/>
      <c r="G185" s="290"/>
      <c r="H185" s="290"/>
      <c r="I185" s="290"/>
      <c r="J185" s="290"/>
      <c r="K185" s="290"/>
      <c r="L185" s="290"/>
      <c r="M185" s="290"/>
      <c r="N185" s="290"/>
      <c r="O185" s="290"/>
      <c r="P185" s="290"/>
      <c r="Q185" s="290"/>
      <c r="R185" s="290"/>
      <c r="S185" s="290"/>
      <c r="T185" s="290"/>
      <c r="U185" s="290"/>
      <c r="V185" s="290"/>
      <c r="W185" s="290"/>
      <c r="X185" s="290"/>
      <c r="Y185" s="290"/>
      <c r="Z185" s="290"/>
      <c r="AA185" s="290"/>
      <c r="AB185" s="290"/>
      <c r="AC185" s="290"/>
      <c r="AD185" s="290"/>
      <c r="AE185" s="290"/>
      <c r="AF185" s="290"/>
      <c r="AG185" s="290"/>
      <c r="AH185" s="290"/>
    </row>
    <row r="186" spans="1:34">
      <c r="A186" s="290"/>
      <c r="B186" s="290"/>
      <c r="C186" s="290"/>
      <c r="D186" s="290"/>
      <c r="E186" s="290"/>
      <c r="F186" s="290"/>
      <c r="G186" s="290"/>
      <c r="H186" s="290"/>
      <c r="I186" s="290"/>
      <c r="J186" s="290"/>
      <c r="K186" s="290"/>
      <c r="L186" s="290"/>
      <c r="M186" s="290"/>
      <c r="N186" s="290"/>
      <c r="O186" s="290"/>
      <c r="P186" s="290"/>
      <c r="Q186" s="290"/>
      <c r="R186" s="290"/>
      <c r="S186" s="290"/>
      <c r="T186" s="290"/>
      <c r="U186" s="290"/>
      <c r="V186" s="290"/>
      <c r="W186" s="290"/>
      <c r="X186" s="290"/>
      <c r="Y186" s="290"/>
      <c r="Z186" s="290"/>
      <c r="AA186" s="290"/>
      <c r="AB186" s="290"/>
      <c r="AC186" s="290"/>
      <c r="AD186" s="290"/>
      <c r="AE186" s="290"/>
      <c r="AF186" s="290"/>
      <c r="AG186" s="290"/>
      <c r="AH186" s="290"/>
    </row>
    <row r="187" spans="1:34">
      <c r="A187" s="290"/>
      <c r="B187" s="290"/>
      <c r="C187" s="290"/>
      <c r="D187" s="290"/>
      <c r="E187" s="290"/>
      <c r="F187" s="290"/>
      <c r="G187" s="290"/>
      <c r="H187" s="290"/>
      <c r="I187" s="290"/>
      <c r="J187" s="290"/>
      <c r="K187" s="290"/>
      <c r="L187" s="290"/>
      <c r="M187" s="290"/>
      <c r="N187" s="290"/>
      <c r="O187" s="290"/>
      <c r="P187" s="290"/>
      <c r="Q187" s="290"/>
      <c r="R187" s="290"/>
      <c r="S187" s="290"/>
      <c r="T187" s="290"/>
      <c r="U187" s="290"/>
      <c r="V187" s="290"/>
      <c r="W187" s="290"/>
      <c r="X187" s="290"/>
      <c r="Y187" s="290"/>
      <c r="Z187" s="290"/>
      <c r="AA187" s="290"/>
      <c r="AB187" s="290"/>
      <c r="AC187" s="290"/>
      <c r="AD187" s="290"/>
      <c r="AE187" s="290"/>
      <c r="AF187" s="290"/>
      <c r="AG187" s="290"/>
      <c r="AH187" s="290"/>
    </row>
    <row r="188" spans="1:34">
      <c r="A188" s="290"/>
      <c r="B188" s="290"/>
      <c r="C188" s="290"/>
      <c r="D188" s="290"/>
      <c r="E188" s="290"/>
      <c r="F188" s="290"/>
      <c r="G188" s="290"/>
      <c r="H188" s="290"/>
      <c r="I188" s="290"/>
      <c r="J188" s="290"/>
      <c r="K188" s="290"/>
      <c r="L188" s="290"/>
      <c r="M188" s="290"/>
      <c r="N188" s="290"/>
      <c r="O188" s="290"/>
      <c r="P188" s="290"/>
      <c r="Q188" s="290"/>
      <c r="R188" s="290"/>
      <c r="S188" s="290"/>
      <c r="T188" s="290"/>
      <c r="U188" s="290"/>
      <c r="V188" s="290"/>
      <c r="W188" s="290"/>
      <c r="X188" s="290"/>
      <c r="Y188" s="290"/>
      <c r="Z188" s="290"/>
      <c r="AA188" s="290"/>
      <c r="AB188" s="290"/>
      <c r="AC188" s="290"/>
      <c r="AD188" s="290"/>
      <c r="AE188" s="290"/>
      <c r="AF188" s="290"/>
      <c r="AG188" s="290"/>
      <c r="AH188" s="290"/>
    </row>
    <row r="189" spans="1:34">
      <c r="A189" s="290"/>
      <c r="B189" s="290"/>
      <c r="C189" s="290"/>
      <c r="D189" s="290"/>
      <c r="E189" s="290"/>
      <c r="F189" s="290"/>
      <c r="G189" s="290"/>
      <c r="H189" s="290"/>
      <c r="I189" s="290"/>
      <c r="J189" s="290"/>
      <c r="K189" s="290"/>
      <c r="L189" s="290"/>
      <c r="M189" s="290"/>
      <c r="N189" s="290"/>
      <c r="O189" s="290"/>
      <c r="P189" s="290"/>
      <c r="Q189" s="290"/>
      <c r="R189" s="290"/>
      <c r="S189" s="290"/>
      <c r="T189" s="290"/>
      <c r="U189" s="290"/>
      <c r="V189" s="290"/>
      <c r="W189" s="290"/>
      <c r="X189" s="290"/>
      <c r="Y189" s="290"/>
      <c r="Z189" s="290"/>
      <c r="AA189" s="290"/>
      <c r="AB189" s="290"/>
      <c r="AC189" s="290"/>
      <c r="AD189" s="290"/>
      <c r="AE189" s="290"/>
      <c r="AF189" s="290"/>
      <c r="AG189" s="290"/>
      <c r="AH189" s="290"/>
    </row>
    <row r="190" spans="1:34">
      <c r="A190" s="290"/>
      <c r="B190" s="290"/>
      <c r="C190" s="290"/>
      <c r="D190" s="290"/>
      <c r="E190" s="290"/>
      <c r="F190" s="290"/>
      <c r="G190" s="290"/>
      <c r="H190" s="290"/>
      <c r="I190" s="290"/>
      <c r="J190" s="290"/>
      <c r="K190" s="290"/>
      <c r="L190" s="290"/>
      <c r="M190" s="290"/>
      <c r="N190" s="290"/>
      <c r="O190" s="290"/>
      <c r="P190" s="290"/>
      <c r="Q190" s="290"/>
      <c r="R190" s="290"/>
      <c r="S190" s="290"/>
      <c r="T190" s="290"/>
      <c r="U190" s="290"/>
      <c r="V190" s="290"/>
      <c r="W190" s="290"/>
      <c r="X190" s="290"/>
      <c r="Y190" s="290"/>
      <c r="Z190" s="290"/>
      <c r="AA190" s="290"/>
      <c r="AB190" s="290"/>
      <c r="AC190" s="290"/>
      <c r="AD190" s="290"/>
      <c r="AE190" s="290"/>
      <c r="AF190" s="290"/>
      <c r="AG190" s="290"/>
      <c r="AH190" s="290"/>
    </row>
    <row r="191" spans="1:34">
      <c r="A191" s="290"/>
      <c r="B191" s="290"/>
      <c r="C191" s="290"/>
      <c r="D191" s="290"/>
      <c r="E191" s="290"/>
      <c r="F191" s="290"/>
      <c r="G191" s="290"/>
      <c r="H191" s="290"/>
      <c r="I191" s="290"/>
      <c r="J191" s="290"/>
      <c r="K191" s="290"/>
      <c r="L191" s="290"/>
      <c r="M191" s="290"/>
      <c r="N191" s="290"/>
      <c r="O191" s="290"/>
      <c r="P191" s="290"/>
      <c r="Q191" s="290"/>
      <c r="R191" s="290"/>
      <c r="S191" s="290"/>
      <c r="T191" s="290"/>
      <c r="U191" s="290"/>
      <c r="V191" s="290"/>
      <c r="W191" s="290"/>
      <c r="X191" s="290"/>
      <c r="Y191" s="290"/>
      <c r="Z191" s="290"/>
      <c r="AA191" s="290"/>
      <c r="AB191" s="290"/>
      <c r="AC191" s="290"/>
      <c r="AD191" s="290"/>
      <c r="AE191" s="290"/>
      <c r="AF191" s="290"/>
      <c r="AG191" s="290"/>
      <c r="AH191" s="290"/>
    </row>
    <row r="192" spans="1:34">
      <c r="A192" s="290"/>
      <c r="B192" s="290"/>
      <c r="C192" s="290"/>
      <c r="D192" s="290"/>
      <c r="E192" s="290"/>
      <c r="F192" s="290"/>
      <c r="G192" s="290"/>
      <c r="H192" s="290"/>
      <c r="I192" s="290"/>
      <c r="J192" s="290"/>
      <c r="K192" s="290"/>
      <c r="L192" s="290"/>
      <c r="M192" s="290"/>
      <c r="N192" s="290"/>
      <c r="O192" s="290"/>
      <c r="P192" s="290"/>
      <c r="Q192" s="290"/>
      <c r="R192" s="290"/>
      <c r="S192" s="290"/>
      <c r="T192" s="290"/>
      <c r="U192" s="290"/>
      <c r="V192" s="290"/>
      <c r="W192" s="290"/>
      <c r="X192" s="290"/>
      <c r="Y192" s="290"/>
      <c r="Z192" s="290"/>
      <c r="AA192" s="290"/>
      <c r="AB192" s="290"/>
      <c r="AC192" s="290"/>
      <c r="AD192" s="290"/>
      <c r="AE192" s="290"/>
      <c r="AF192" s="290"/>
      <c r="AG192" s="290"/>
      <c r="AH192" s="290"/>
    </row>
    <row r="193" spans="1:34">
      <c r="A193" s="290"/>
      <c r="B193" s="290"/>
      <c r="C193" s="290"/>
      <c r="D193" s="290"/>
      <c r="E193" s="290"/>
      <c r="F193" s="290"/>
      <c r="G193" s="290"/>
      <c r="H193" s="290"/>
      <c r="I193" s="290"/>
      <c r="J193" s="290"/>
      <c r="K193" s="290"/>
      <c r="L193" s="290"/>
      <c r="M193" s="290"/>
      <c r="N193" s="290"/>
      <c r="O193" s="290"/>
      <c r="P193" s="290"/>
      <c r="Q193" s="290"/>
      <c r="R193" s="290"/>
      <c r="S193" s="290"/>
      <c r="T193" s="290"/>
      <c r="U193" s="290"/>
      <c r="V193" s="290"/>
      <c r="W193" s="290"/>
      <c r="X193" s="290"/>
      <c r="Y193" s="290"/>
      <c r="Z193" s="290"/>
      <c r="AA193" s="290"/>
      <c r="AB193" s="290"/>
      <c r="AC193" s="290"/>
      <c r="AD193" s="290"/>
      <c r="AE193" s="290"/>
      <c r="AF193" s="290"/>
      <c r="AG193" s="290"/>
      <c r="AH193" s="290"/>
    </row>
    <row r="194" spans="1:34">
      <c r="A194" s="290"/>
      <c r="B194" s="290"/>
      <c r="C194" s="290"/>
      <c r="D194" s="290"/>
      <c r="E194" s="290"/>
      <c r="F194" s="290"/>
      <c r="G194" s="290"/>
      <c r="H194" s="290"/>
      <c r="I194" s="290"/>
      <c r="J194" s="290"/>
      <c r="K194" s="290"/>
      <c r="L194" s="290"/>
      <c r="M194" s="290"/>
      <c r="N194" s="290"/>
      <c r="O194" s="290"/>
      <c r="P194" s="290"/>
      <c r="Q194" s="290"/>
      <c r="R194" s="290"/>
      <c r="S194" s="290"/>
      <c r="T194" s="290"/>
      <c r="U194" s="290"/>
      <c r="V194" s="290"/>
      <c r="W194" s="290"/>
      <c r="X194" s="290"/>
      <c r="Y194" s="290"/>
      <c r="Z194" s="290"/>
      <c r="AA194" s="290"/>
      <c r="AB194" s="290"/>
      <c r="AC194" s="290"/>
      <c r="AD194" s="290"/>
      <c r="AE194" s="290"/>
      <c r="AF194" s="290"/>
      <c r="AG194" s="290"/>
      <c r="AH194" s="290"/>
    </row>
    <row r="195" spans="1:34">
      <c r="A195" s="290"/>
      <c r="B195" s="290"/>
      <c r="C195" s="290"/>
      <c r="D195" s="290"/>
      <c r="E195" s="290"/>
      <c r="F195" s="290"/>
      <c r="G195" s="290"/>
      <c r="H195" s="290"/>
      <c r="I195" s="290"/>
      <c r="J195" s="290"/>
      <c r="K195" s="290"/>
      <c r="L195" s="290"/>
      <c r="M195" s="290"/>
      <c r="N195" s="290"/>
      <c r="O195" s="290"/>
      <c r="P195" s="290"/>
      <c r="Q195" s="290"/>
      <c r="R195" s="290"/>
      <c r="S195" s="290"/>
      <c r="T195" s="290"/>
      <c r="U195" s="290"/>
      <c r="V195" s="290"/>
      <c r="W195" s="290"/>
      <c r="X195" s="290"/>
      <c r="Y195" s="290"/>
      <c r="Z195" s="290"/>
      <c r="AA195" s="290"/>
      <c r="AB195" s="290"/>
      <c r="AC195" s="290"/>
      <c r="AD195" s="290"/>
      <c r="AE195" s="290"/>
      <c r="AF195" s="290"/>
      <c r="AG195" s="290"/>
      <c r="AH195" s="290"/>
    </row>
    <row r="196" spans="1:34">
      <c r="A196" s="290"/>
      <c r="B196" s="290"/>
      <c r="C196" s="290"/>
      <c r="D196" s="290"/>
      <c r="E196" s="290"/>
      <c r="F196" s="290"/>
      <c r="G196" s="290"/>
      <c r="H196" s="290"/>
      <c r="I196" s="290"/>
      <c r="J196" s="290"/>
      <c r="K196" s="290"/>
      <c r="L196" s="290"/>
      <c r="M196" s="290"/>
      <c r="N196" s="290"/>
      <c r="O196" s="290"/>
      <c r="P196" s="290"/>
      <c r="Q196" s="290"/>
      <c r="R196" s="290"/>
      <c r="S196" s="290"/>
      <c r="T196" s="290"/>
      <c r="U196" s="290"/>
      <c r="V196" s="290"/>
      <c r="W196" s="290"/>
      <c r="X196" s="290"/>
      <c r="Y196" s="290"/>
      <c r="Z196" s="290"/>
      <c r="AA196" s="290"/>
      <c r="AB196" s="290"/>
      <c r="AC196" s="290"/>
      <c r="AD196" s="290"/>
      <c r="AE196" s="290"/>
      <c r="AF196" s="290"/>
      <c r="AG196" s="290"/>
      <c r="AH196" s="290"/>
    </row>
    <row r="197" spans="1:34">
      <c r="A197" s="290"/>
      <c r="B197" s="290"/>
      <c r="C197" s="290"/>
      <c r="D197" s="290"/>
      <c r="E197" s="290"/>
      <c r="F197" s="290"/>
      <c r="G197" s="290"/>
      <c r="H197" s="290"/>
      <c r="I197" s="290"/>
      <c r="J197" s="290"/>
      <c r="K197" s="290"/>
      <c r="L197" s="290"/>
      <c r="M197" s="290"/>
      <c r="N197" s="290"/>
      <c r="O197" s="290"/>
      <c r="P197" s="290"/>
      <c r="Q197" s="290"/>
      <c r="R197" s="290"/>
      <c r="S197" s="290"/>
      <c r="T197" s="290"/>
      <c r="U197" s="290"/>
      <c r="V197" s="290"/>
      <c r="W197" s="290"/>
      <c r="X197" s="290"/>
      <c r="Y197" s="290"/>
      <c r="Z197" s="290"/>
      <c r="AA197" s="290"/>
      <c r="AB197" s="290"/>
      <c r="AC197" s="290"/>
      <c r="AD197" s="290"/>
      <c r="AE197" s="290"/>
      <c r="AF197" s="290"/>
      <c r="AG197" s="290"/>
      <c r="AH197" s="290"/>
    </row>
    <row r="198" spans="1:34">
      <c r="A198" s="290"/>
      <c r="B198" s="290"/>
      <c r="C198" s="290"/>
      <c r="D198" s="290"/>
      <c r="E198" s="290"/>
      <c r="F198" s="290"/>
      <c r="G198" s="290"/>
      <c r="H198" s="290"/>
      <c r="I198" s="290"/>
      <c r="J198" s="290"/>
      <c r="K198" s="290"/>
      <c r="L198" s="290"/>
      <c r="M198" s="290"/>
      <c r="N198" s="290"/>
      <c r="O198" s="290"/>
      <c r="P198" s="290"/>
      <c r="Q198" s="290"/>
      <c r="R198" s="290"/>
      <c r="S198" s="290"/>
      <c r="T198" s="290"/>
      <c r="U198" s="290"/>
      <c r="V198" s="290"/>
      <c r="W198" s="290"/>
      <c r="X198" s="290"/>
      <c r="Y198" s="290"/>
      <c r="Z198" s="290"/>
      <c r="AA198" s="290"/>
      <c r="AB198" s="290"/>
      <c r="AC198" s="290"/>
      <c r="AD198" s="290"/>
      <c r="AE198" s="290"/>
      <c r="AF198" s="290"/>
      <c r="AG198" s="290"/>
      <c r="AH198" s="290"/>
    </row>
    <row r="199" spans="1:34">
      <c r="A199" s="290"/>
      <c r="B199" s="290"/>
      <c r="C199" s="290"/>
      <c r="D199" s="290"/>
      <c r="E199" s="290"/>
      <c r="F199" s="290"/>
      <c r="G199" s="290"/>
      <c r="H199" s="290"/>
      <c r="I199" s="290"/>
      <c r="J199" s="290"/>
      <c r="K199" s="290"/>
      <c r="L199" s="290"/>
      <c r="M199" s="290"/>
      <c r="N199" s="290"/>
      <c r="O199" s="290"/>
      <c r="P199" s="290"/>
      <c r="Q199" s="290"/>
      <c r="R199" s="290"/>
      <c r="S199" s="290"/>
      <c r="T199" s="290"/>
      <c r="U199" s="290"/>
      <c r="V199" s="290"/>
      <c r="W199" s="290"/>
      <c r="X199" s="290"/>
      <c r="Y199" s="290"/>
      <c r="Z199" s="290"/>
      <c r="AA199" s="290"/>
      <c r="AB199" s="290"/>
      <c r="AC199" s="290"/>
      <c r="AD199" s="290"/>
      <c r="AE199" s="290"/>
      <c r="AF199" s="290"/>
      <c r="AG199" s="290"/>
      <c r="AH199" s="290"/>
    </row>
    <row r="200" spans="1:34">
      <c r="A200" s="290"/>
      <c r="B200" s="290"/>
      <c r="C200" s="290"/>
      <c r="D200" s="290"/>
      <c r="E200" s="290"/>
      <c r="F200" s="290"/>
      <c r="G200" s="290"/>
      <c r="H200" s="290"/>
      <c r="I200" s="290"/>
      <c r="J200" s="290"/>
      <c r="K200" s="290"/>
      <c r="L200" s="290"/>
      <c r="M200" s="290"/>
      <c r="N200" s="290"/>
      <c r="O200" s="290"/>
      <c r="P200" s="290"/>
      <c r="Q200" s="290"/>
      <c r="R200" s="290"/>
      <c r="S200" s="290"/>
      <c r="T200" s="290"/>
      <c r="U200" s="290"/>
      <c r="V200" s="290"/>
      <c r="W200" s="290"/>
      <c r="X200" s="290"/>
      <c r="Y200" s="290"/>
      <c r="Z200" s="290"/>
      <c r="AA200" s="290"/>
      <c r="AB200" s="290"/>
      <c r="AC200" s="290"/>
      <c r="AD200" s="290"/>
      <c r="AE200" s="290"/>
      <c r="AF200" s="290"/>
      <c r="AG200" s="290"/>
      <c r="AH200" s="290"/>
    </row>
    <row r="201" spans="1:34">
      <c r="A201" s="290"/>
      <c r="B201" s="290"/>
      <c r="C201" s="290"/>
      <c r="D201" s="290"/>
      <c r="E201" s="290"/>
      <c r="F201" s="290"/>
      <c r="G201" s="290"/>
      <c r="H201" s="290"/>
      <c r="I201" s="290"/>
      <c r="J201" s="290"/>
      <c r="K201" s="290"/>
      <c r="L201" s="290"/>
      <c r="M201" s="290"/>
      <c r="N201" s="290"/>
      <c r="O201" s="290"/>
      <c r="P201" s="290"/>
      <c r="Q201" s="290"/>
      <c r="R201" s="290"/>
      <c r="S201" s="290"/>
      <c r="T201" s="290"/>
      <c r="U201" s="290"/>
      <c r="V201" s="290"/>
      <c r="W201" s="290"/>
      <c r="X201" s="290"/>
      <c r="Y201" s="290"/>
      <c r="Z201" s="290"/>
      <c r="AA201" s="290"/>
      <c r="AB201" s="290"/>
      <c r="AC201" s="290"/>
      <c r="AD201" s="290"/>
      <c r="AE201" s="290"/>
      <c r="AF201" s="290"/>
      <c r="AG201" s="290"/>
      <c r="AH201" s="290"/>
    </row>
    <row r="202" spans="1:34">
      <c r="A202" s="290"/>
      <c r="B202" s="290"/>
      <c r="C202" s="290"/>
      <c r="D202" s="290"/>
      <c r="E202" s="290"/>
      <c r="F202" s="290"/>
      <c r="G202" s="290"/>
      <c r="H202" s="290"/>
      <c r="I202" s="290"/>
      <c r="J202" s="290"/>
      <c r="K202" s="290"/>
      <c r="L202" s="290"/>
      <c r="M202" s="290"/>
      <c r="N202" s="290"/>
      <c r="O202" s="290"/>
      <c r="P202" s="290"/>
      <c r="Q202" s="290"/>
      <c r="R202" s="290"/>
      <c r="S202" s="290"/>
      <c r="T202" s="290"/>
      <c r="U202" s="290"/>
      <c r="V202" s="290"/>
      <c r="W202" s="290"/>
      <c r="X202" s="290"/>
      <c r="Y202" s="290"/>
      <c r="Z202" s="290"/>
      <c r="AA202" s="290"/>
      <c r="AB202" s="290"/>
      <c r="AC202" s="290"/>
      <c r="AD202" s="290"/>
      <c r="AE202" s="290"/>
      <c r="AF202" s="290"/>
      <c r="AG202" s="290"/>
      <c r="AH202" s="290"/>
    </row>
    <row r="203" spans="1:34">
      <c r="A203" s="290"/>
      <c r="B203" s="290"/>
      <c r="C203" s="290"/>
      <c r="D203" s="290"/>
      <c r="E203" s="290"/>
      <c r="F203" s="290"/>
      <c r="G203" s="290"/>
      <c r="H203" s="290"/>
      <c r="I203" s="290"/>
      <c r="J203" s="290"/>
      <c r="K203" s="290"/>
      <c r="L203" s="290"/>
      <c r="M203" s="290"/>
      <c r="N203" s="290"/>
      <c r="O203" s="290"/>
      <c r="P203" s="290"/>
      <c r="Q203" s="290"/>
      <c r="R203" s="290"/>
      <c r="S203" s="290"/>
      <c r="T203" s="290"/>
      <c r="U203" s="290"/>
      <c r="V203" s="290"/>
      <c r="W203" s="290"/>
      <c r="X203" s="290"/>
      <c r="Y203" s="290"/>
      <c r="Z203" s="290"/>
      <c r="AA203" s="290"/>
      <c r="AB203" s="290"/>
      <c r="AC203" s="290"/>
      <c r="AD203" s="290"/>
      <c r="AE203" s="290"/>
      <c r="AF203" s="290"/>
      <c r="AG203" s="290"/>
      <c r="AH203" s="290"/>
    </row>
    <row r="204" spans="1:34">
      <c r="A204" s="290"/>
      <c r="B204" s="290"/>
      <c r="C204" s="290"/>
      <c r="D204" s="290"/>
      <c r="E204" s="290"/>
      <c r="F204" s="290"/>
      <c r="G204" s="290"/>
      <c r="H204" s="290"/>
      <c r="I204" s="290"/>
      <c r="J204" s="290"/>
      <c r="K204" s="290"/>
      <c r="L204" s="290"/>
      <c r="M204" s="290"/>
      <c r="N204" s="290"/>
      <c r="O204" s="290"/>
      <c r="P204" s="290"/>
      <c r="Q204" s="290"/>
      <c r="R204" s="290"/>
      <c r="S204" s="290"/>
      <c r="T204" s="290"/>
      <c r="U204" s="290"/>
      <c r="V204" s="290"/>
      <c r="W204" s="290"/>
      <c r="X204" s="290"/>
      <c r="Y204" s="290"/>
      <c r="Z204" s="290"/>
      <c r="AA204" s="290"/>
      <c r="AB204" s="290"/>
      <c r="AC204" s="290"/>
      <c r="AD204" s="290"/>
      <c r="AE204" s="290"/>
      <c r="AF204" s="290"/>
      <c r="AG204" s="290"/>
      <c r="AH204" s="290"/>
    </row>
    <row r="205" spans="1:34">
      <c r="A205" s="290"/>
      <c r="B205" s="290"/>
      <c r="C205" s="290"/>
      <c r="D205" s="290"/>
      <c r="E205" s="290"/>
      <c r="F205" s="290"/>
      <c r="G205" s="290"/>
      <c r="H205" s="290"/>
      <c r="I205" s="290"/>
      <c r="J205" s="290"/>
      <c r="K205" s="290"/>
      <c r="L205" s="290"/>
      <c r="M205" s="290"/>
      <c r="N205" s="290"/>
      <c r="O205" s="290"/>
      <c r="P205" s="290"/>
      <c r="Q205" s="290"/>
      <c r="R205" s="290"/>
      <c r="S205" s="290"/>
      <c r="T205" s="290"/>
      <c r="U205" s="290"/>
      <c r="V205" s="290"/>
      <c r="W205" s="290"/>
      <c r="X205" s="290"/>
      <c r="Y205" s="290"/>
      <c r="Z205" s="290"/>
      <c r="AA205" s="290"/>
      <c r="AB205" s="290"/>
      <c r="AC205" s="290"/>
      <c r="AD205" s="290"/>
      <c r="AE205" s="290"/>
      <c r="AF205" s="290"/>
      <c r="AG205" s="290"/>
      <c r="AH205" s="290"/>
    </row>
    <row r="206" spans="1:34">
      <c r="A206" s="290"/>
      <c r="B206" s="290"/>
      <c r="C206" s="290"/>
      <c r="D206" s="290"/>
      <c r="E206" s="290"/>
      <c r="F206" s="290"/>
      <c r="G206" s="290"/>
      <c r="H206" s="290"/>
      <c r="I206" s="290"/>
      <c r="J206" s="290"/>
      <c r="K206" s="290"/>
      <c r="L206" s="290"/>
      <c r="M206" s="290"/>
      <c r="N206" s="290"/>
      <c r="O206" s="290"/>
      <c r="P206" s="290"/>
      <c r="Q206" s="290"/>
      <c r="R206" s="290"/>
      <c r="S206" s="290"/>
      <c r="T206" s="290"/>
      <c r="U206" s="290"/>
      <c r="V206" s="290"/>
      <c r="W206" s="290"/>
      <c r="X206" s="290"/>
      <c r="Y206" s="290"/>
      <c r="Z206" s="290"/>
      <c r="AA206" s="290"/>
      <c r="AB206" s="290"/>
      <c r="AC206" s="290"/>
      <c r="AD206" s="290"/>
      <c r="AE206" s="290"/>
      <c r="AF206" s="290"/>
      <c r="AG206" s="290"/>
      <c r="AH206" s="290"/>
    </row>
    <row r="207" spans="1:34">
      <c r="A207" s="290"/>
      <c r="B207" s="290"/>
      <c r="C207" s="290"/>
      <c r="D207" s="290"/>
      <c r="E207" s="290"/>
      <c r="F207" s="290"/>
      <c r="G207" s="290"/>
      <c r="H207" s="290"/>
      <c r="I207" s="290"/>
      <c r="J207" s="290"/>
      <c r="K207" s="290"/>
      <c r="L207" s="290"/>
      <c r="M207" s="290"/>
      <c r="N207" s="290"/>
      <c r="O207" s="290"/>
      <c r="P207" s="290"/>
      <c r="Q207" s="290"/>
      <c r="R207" s="290"/>
      <c r="S207" s="290"/>
      <c r="T207" s="290"/>
      <c r="U207" s="290"/>
      <c r="V207" s="290"/>
      <c r="W207" s="290"/>
      <c r="X207" s="290"/>
      <c r="Y207" s="290"/>
      <c r="Z207" s="290"/>
      <c r="AA207" s="290"/>
      <c r="AB207" s="290"/>
      <c r="AC207" s="290"/>
      <c r="AD207" s="290"/>
      <c r="AE207" s="290"/>
      <c r="AF207" s="290"/>
      <c r="AG207" s="290"/>
      <c r="AH207" s="290"/>
    </row>
    <row r="208" spans="1:34">
      <c r="A208" s="290"/>
      <c r="B208" s="290"/>
      <c r="C208" s="290"/>
      <c r="D208" s="290"/>
      <c r="E208" s="290"/>
      <c r="F208" s="290"/>
      <c r="G208" s="290"/>
      <c r="H208" s="290"/>
      <c r="I208" s="290"/>
      <c r="J208" s="290"/>
      <c r="K208" s="290"/>
      <c r="L208" s="290"/>
      <c r="M208" s="290"/>
      <c r="N208" s="290"/>
      <c r="O208" s="290"/>
      <c r="P208" s="290"/>
      <c r="Q208" s="290"/>
      <c r="R208" s="290"/>
      <c r="S208" s="290"/>
      <c r="T208" s="290"/>
      <c r="U208" s="290"/>
      <c r="V208" s="290"/>
      <c r="W208" s="290"/>
      <c r="X208" s="290"/>
      <c r="Y208" s="290"/>
      <c r="Z208" s="290"/>
      <c r="AA208" s="290"/>
      <c r="AB208" s="290"/>
      <c r="AC208" s="290"/>
      <c r="AD208" s="290"/>
      <c r="AE208" s="290"/>
      <c r="AF208" s="290"/>
      <c r="AG208" s="290"/>
      <c r="AH208" s="290"/>
    </row>
    <row r="209" spans="1:34">
      <c r="A209" s="290"/>
      <c r="B209" s="290"/>
      <c r="C209" s="290"/>
      <c r="D209" s="290"/>
      <c r="E209" s="290"/>
      <c r="F209" s="290"/>
      <c r="G209" s="290"/>
      <c r="H209" s="290"/>
      <c r="I209" s="290"/>
      <c r="J209" s="290"/>
      <c r="K209" s="290"/>
      <c r="L209" s="290"/>
      <c r="M209" s="290"/>
      <c r="N209" s="290"/>
      <c r="O209" s="290"/>
      <c r="P209" s="290"/>
      <c r="Q209" s="290"/>
      <c r="R209" s="290"/>
      <c r="S209" s="290"/>
      <c r="T209" s="290"/>
      <c r="U209" s="290"/>
      <c r="V209" s="290"/>
      <c r="W209" s="290"/>
      <c r="X209" s="290"/>
      <c r="Y209" s="290"/>
      <c r="Z209" s="290"/>
      <c r="AA209" s="290"/>
      <c r="AB209" s="290"/>
      <c r="AC209" s="290"/>
      <c r="AD209" s="290"/>
      <c r="AE209" s="290"/>
      <c r="AF209" s="290"/>
      <c r="AG209" s="290"/>
      <c r="AH209" s="290"/>
    </row>
    <row r="210" spans="1:34">
      <c r="A210" s="290"/>
      <c r="B210" s="290"/>
      <c r="C210" s="290"/>
      <c r="D210" s="290"/>
      <c r="E210" s="290"/>
      <c r="F210" s="290"/>
      <c r="G210" s="290"/>
      <c r="H210" s="290"/>
      <c r="I210" s="290"/>
      <c r="J210" s="290"/>
      <c r="K210" s="290"/>
      <c r="L210" s="290"/>
      <c r="M210" s="290"/>
      <c r="N210" s="290"/>
      <c r="O210" s="290"/>
      <c r="P210" s="290"/>
      <c r="Q210" s="290"/>
      <c r="R210" s="290"/>
      <c r="S210" s="290"/>
      <c r="T210" s="290"/>
      <c r="U210" s="290"/>
      <c r="V210" s="290"/>
      <c r="W210" s="290"/>
      <c r="X210" s="290"/>
      <c r="Y210" s="290"/>
      <c r="Z210" s="290"/>
      <c r="AA210" s="290"/>
      <c r="AB210" s="290"/>
      <c r="AC210" s="290"/>
      <c r="AD210" s="290"/>
      <c r="AE210" s="290"/>
      <c r="AF210" s="290"/>
      <c r="AG210" s="290"/>
      <c r="AH210" s="290"/>
    </row>
    <row r="211" spans="1:34">
      <c r="A211" s="290"/>
      <c r="B211" s="290"/>
      <c r="C211" s="290"/>
      <c r="D211" s="290"/>
      <c r="E211" s="290"/>
      <c r="F211" s="290"/>
      <c r="G211" s="290"/>
      <c r="H211" s="290"/>
      <c r="I211" s="290"/>
      <c r="J211" s="290"/>
      <c r="K211" s="290"/>
      <c r="L211" s="290"/>
      <c r="M211" s="290"/>
      <c r="N211" s="290"/>
      <c r="O211" s="290"/>
      <c r="P211" s="290"/>
      <c r="Q211" s="290"/>
      <c r="R211" s="290"/>
      <c r="S211" s="290"/>
      <c r="T211" s="290"/>
      <c r="U211" s="290"/>
      <c r="V211" s="290"/>
      <c r="W211" s="290"/>
      <c r="X211" s="290"/>
      <c r="Y211" s="290"/>
      <c r="Z211" s="290"/>
      <c r="AA211" s="290"/>
      <c r="AB211" s="290"/>
      <c r="AC211" s="290"/>
      <c r="AD211" s="290"/>
      <c r="AE211" s="290"/>
      <c r="AF211" s="290"/>
      <c r="AG211" s="290"/>
      <c r="AH211" s="290"/>
    </row>
    <row r="212" spans="1:34">
      <c r="A212" s="290"/>
      <c r="B212" s="290"/>
      <c r="C212" s="290"/>
      <c r="D212" s="290"/>
      <c r="E212" s="290"/>
      <c r="F212" s="290"/>
      <c r="G212" s="290"/>
      <c r="H212" s="290"/>
      <c r="I212" s="290"/>
      <c r="J212" s="290"/>
      <c r="K212" s="290"/>
      <c r="L212" s="290"/>
      <c r="M212" s="290"/>
      <c r="N212" s="290"/>
      <c r="O212" s="290"/>
      <c r="P212" s="290"/>
      <c r="Q212" s="290"/>
      <c r="R212" s="290"/>
      <c r="S212" s="290"/>
      <c r="T212" s="290"/>
      <c r="U212" s="290"/>
      <c r="V212" s="290"/>
      <c r="W212" s="290"/>
      <c r="X212" s="290"/>
      <c r="Y212" s="290"/>
      <c r="Z212" s="290"/>
      <c r="AA212" s="290"/>
      <c r="AB212" s="290"/>
      <c r="AC212" s="290"/>
      <c r="AD212" s="290"/>
      <c r="AE212" s="290"/>
      <c r="AF212" s="290"/>
      <c r="AG212" s="290"/>
      <c r="AH212" s="290"/>
    </row>
    <row r="213" spans="1:34">
      <c r="A213" s="290"/>
      <c r="B213" s="290"/>
      <c r="C213" s="290"/>
      <c r="D213" s="290"/>
      <c r="E213" s="290"/>
      <c r="F213" s="290"/>
      <c r="G213" s="290"/>
      <c r="H213" s="290"/>
      <c r="I213" s="290"/>
      <c r="J213" s="290"/>
      <c r="K213" s="290"/>
      <c r="L213" s="290"/>
      <c r="M213" s="290"/>
      <c r="N213" s="290"/>
      <c r="O213" s="290"/>
      <c r="P213" s="290"/>
      <c r="Q213" s="290"/>
      <c r="R213" s="290"/>
      <c r="S213" s="290"/>
      <c r="T213" s="290"/>
      <c r="U213" s="290"/>
      <c r="V213" s="290"/>
      <c r="W213" s="290"/>
      <c r="X213" s="290"/>
      <c r="Y213" s="290"/>
      <c r="Z213" s="290"/>
      <c r="AA213" s="290"/>
      <c r="AB213" s="290"/>
      <c r="AC213" s="290"/>
      <c r="AD213" s="290"/>
      <c r="AE213" s="290"/>
      <c r="AF213" s="290"/>
      <c r="AG213" s="290"/>
      <c r="AH213" s="290"/>
    </row>
    <row r="214" spans="1:34">
      <c r="A214" s="290"/>
      <c r="B214" s="290"/>
      <c r="C214" s="290"/>
      <c r="D214" s="290"/>
      <c r="E214" s="290"/>
      <c r="F214" s="290"/>
      <c r="G214" s="290"/>
      <c r="H214" s="290"/>
      <c r="I214" s="290"/>
      <c r="J214" s="290"/>
      <c r="K214" s="290"/>
      <c r="L214" s="290"/>
      <c r="M214" s="290"/>
      <c r="N214" s="290"/>
      <c r="O214" s="290"/>
      <c r="P214" s="290"/>
      <c r="Q214" s="290"/>
      <c r="R214" s="290"/>
      <c r="S214" s="290"/>
      <c r="T214" s="290"/>
      <c r="U214" s="290"/>
      <c r="V214" s="290"/>
      <c r="W214" s="290"/>
      <c r="X214" s="290"/>
      <c r="Y214" s="290"/>
      <c r="Z214" s="290"/>
      <c r="AA214" s="290"/>
      <c r="AB214" s="290"/>
      <c r="AC214" s="290"/>
      <c r="AD214" s="290"/>
      <c r="AE214" s="290"/>
      <c r="AF214" s="290"/>
      <c r="AG214" s="290"/>
      <c r="AH214" s="290"/>
    </row>
    <row r="215" spans="1:34">
      <c r="A215" s="290"/>
      <c r="B215" s="290"/>
      <c r="C215" s="290"/>
      <c r="D215" s="290"/>
      <c r="E215" s="290"/>
      <c r="F215" s="290"/>
      <c r="G215" s="290"/>
      <c r="H215" s="290"/>
      <c r="I215" s="290"/>
      <c r="J215" s="290"/>
      <c r="K215" s="290"/>
      <c r="L215" s="290"/>
      <c r="M215" s="290"/>
      <c r="N215" s="290"/>
      <c r="O215" s="290"/>
      <c r="P215" s="290"/>
      <c r="Q215" s="290"/>
      <c r="R215" s="290"/>
      <c r="S215" s="290"/>
      <c r="T215" s="290"/>
      <c r="U215" s="290"/>
      <c r="V215" s="290"/>
      <c r="W215" s="290"/>
      <c r="X215" s="290"/>
      <c r="Y215" s="290"/>
      <c r="Z215" s="290"/>
      <c r="AA215" s="290"/>
      <c r="AB215" s="290"/>
      <c r="AC215" s="290"/>
      <c r="AD215" s="290"/>
      <c r="AE215" s="290"/>
      <c r="AF215" s="290"/>
      <c r="AG215" s="290"/>
      <c r="AH215" s="290"/>
    </row>
    <row r="216" spans="1:34">
      <c r="A216" s="290"/>
      <c r="B216" s="290"/>
      <c r="C216" s="290"/>
      <c r="D216" s="290"/>
      <c r="E216" s="290"/>
      <c r="F216" s="290"/>
      <c r="G216" s="290"/>
      <c r="H216" s="290"/>
      <c r="I216" s="290"/>
      <c r="J216" s="290"/>
      <c r="K216" s="290"/>
      <c r="L216" s="290"/>
      <c r="M216" s="290"/>
      <c r="N216" s="290"/>
      <c r="O216" s="290"/>
      <c r="P216" s="290"/>
      <c r="Q216" s="290"/>
      <c r="R216" s="290"/>
      <c r="S216" s="290"/>
      <c r="T216" s="290"/>
      <c r="U216" s="290"/>
      <c r="V216" s="290"/>
      <c r="W216" s="290"/>
      <c r="X216" s="290"/>
      <c r="Y216" s="290"/>
      <c r="Z216" s="290"/>
      <c r="AA216" s="290"/>
      <c r="AB216" s="290"/>
      <c r="AC216" s="290"/>
      <c r="AD216" s="290"/>
      <c r="AE216" s="290"/>
      <c r="AF216" s="290"/>
      <c r="AG216" s="290"/>
      <c r="AH216" s="290"/>
    </row>
    <row r="217" spans="1:34">
      <c r="A217" s="290"/>
      <c r="B217" s="290"/>
      <c r="C217" s="290"/>
      <c r="D217" s="290"/>
      <c r="E217" s="290"/>
      <c r="F217" s="290"/>
      <c r="G217" s="290"/>
      <c r="H217" s="290"/>
      <c r="I217" s="290"/>
      <c r="J217" s="290"/>
      <c r="K217" s="290"/>
      <c r="L217" s="290"/>
      <c r="M217" s="290"/>
      <c r="N217" s="290"/>
      <c r="O217" s="290"/>
      <c r="P217" s="290"/>
      <c r="Q217" s="290"/>
      <c r="R217" s="290"/>
      <c r="S217" s="290"/>
      <c r="T217" s="290"/>
      <c r="U217" s="290"/>
      <c r="V217" s="290"/>
      <c r="W217" s="290"/>
      <c r="X217" s="290"/>
      <c r="Y217" s="290"/>
      <c r="Z217" s="290"/>
      <c r="AA217" s="290"/>
      <c r="AB217" s="290"/>
      <c r="AC217" s="290"/>
      <c r="AD217" s="290"/>
      <c r="AE217" s="290"/>
      <c r="AF217" s="290"/>
      <c r="AG217" s="290"/>
      <c r="AH217" s="290"/>
    </row>
    <row r="218" spans="1:34">
      <c r="A218" s="290"/>
      <c r="B218" s="290"/>
      <c r="C218" s="290"/>
      <c r="D218" s="290"/>
      <c r="E218" s="290"/>
      <c r="F218" s="290"/>
      <c r="G218" s="290"/>
      <c r="H218" s="290"/>
      <c r="I218" s="290"/>
      <c r="J218" s="290"/>
      <c r="K218" s="290"/>
      <c r="L218" s="290"/>
      <c r="M218" s="290"/>
      <c r="N218" s="290"/>
      <c r="O218" s="290"/>
      <c r="P218" s="290"/>
      <c r="Q218" s="290"/>
      <c r="R218" s="290"/>
      <c r="S218" s="290"/>
      <c r="T218" s="290"/>
      <c r="U218" s="290"/>
      <c r="V218" s="290"/>
      <c r="W218" s="290"/>
      <c r="X218" s="290"/>
      <c r="Y218" s="290"/>
      <c r="Z218" s="290"/>
      <c r="AA218" s="290"/>
      <c r="AB218" s="290"/>
      <c r="AC218" s="290"/>
      <c r="AD218" s="290"/>
      <c r="AE218" s="290"/>
      <c r="AF218" s="290"/>
      <c r="AG218" s="290"/>
      <c r="AH218" s="290"/>
    </row>
    <row r="219" spans="1:34">
      <c r="A219" s="290"/>
      <c r="B219" s="290"/>
      <c r="C219" s="290"/>
      <c r="D219" s="290"/>
      <c r="E219" s="290"/>
      <c r="F219" s="290"/>
      <c r="G219" s="290"/>
      <c r="H219" s="290"/>
      <c r="I219" s="290"/>
      <c r="J219" s="290"/>
      <c r="K219" s="290"/>
      <c r="L219" s="290"/>
      <c r="M219" s="290"/>
      <c r="N219" s="290"/>
      <c r="O219" s="290"/>
      <c r="P219" s="290"/>
      <c r="Q219" s="290"/>
      <c r="R219" s="290"/>
      <c r="S219" s="290"/>
      <c r="T219" s="290"/>
      <c r="U219" s="290"/>
      <c r="V219" s="290"/>
      <c r="W219" s="290"/>
      <c r="X219" s="290"/>
      <c r="Y219" s="290"/>
      <c r="Z219" s="290"/>
      <c r="AA219" s="290"/>
      <c r="AB219" s="290"/>
      <c r="AC219" s="290"/>
      <c r="AD219" s="290"/>
      <c r="AE219" s="290"/>
      <c r="AF219" s="290"/>
      <c r="AG219" s="290"/>
      <c r="AH219" s="290"/>
    </row>
    <row r="220" spans="1:34">
      <c r="A220" s="290"/>
      <c r="B220" s="290"/>
      <c r="C220" s="290"/>
      <c r="D220" s="290"/>
      <c r="E220" s="290"/>
      <c r="F220" s="290"/>
      <c r="G220" s="290"/>
      <c r="H220" s="290"/>
      <c r="I220" s="290"/>
      <c r="J220" s="290"/>
      <c r="K220" s="290"/>
      <c r="L220" s="290"/>
      <c r="M220" s="290"/>
      <c r="N220" s="290"/>
      <c r="O220" s="290"/>
      <c r="P220" s="290"/>
      <c r="Q220" s="290"/>
      <c r="R220" s="290"/>
      <c r="S220" s="290"/>
      <c r="T220" s="290"/>
      <c r="U220" s="290"/>
      <c r="V220" s="290"/>
      <c r="W220" s="290"/>
      <c r="X220" s="290"/>
      <c r="Y220" s="290"/>
      <c r="Z220" s="290"/>
      <c r="AA220" s="290"/>
      <c r="AB220" s="290"/>
      <c r="AC220" s="290"/>
      <c r="AD220" s="290"/>
      <c r="AE220" s="290"/>
      <c r="AF220" s="290"/>
      <c r="AG220" s="290"/>
      <c r="AH220" s="290"/>
    </row>
    <row r="221" spans="1:34">
      <c r="A221" s="290"/>
      <c r="B221" s="290"/>
      <c r="C221" s="290"/>
      <c r="D221" s="290"/>
      <c r="E221" s="290"/>
      <c r="F221" s="290"/>
      <c r="G221" s="290"/>
      <c r="H221" s="290"/>
      <c r="I221" s="290"/>
      <c r="J221" s="290"/>
      <c r="K221" s="290"/>
      <c r="L221" s="290"/>
      <c r="M221" s="290"/>
      <c r="N221" s="290"/>
      <c r="O221" s="290"/>
      <c r="P221" s="290"/>
      <c r="Q221" s="290"/>
      <c r="R221" s="290"/>
      <c r="S221" s="290"/>
      <c r="T221" s="290"/>
      <c r="U221" s="290"/>
      <c r="V221" s="290"/>
      <c r="W221" s="290"/>
      <c r="X221" s="290"/>
      <c r="Y221" s="290"/>
      <c r="Z221" s="290"/>
      <c r="AA221" s="290"/>
      <c r="AB221" s="290"/>
      <c r="AC221" s="290"/>
      <c r="AD221" s="290"/>
      <c r="AE221" s="290"/>
      <c r="AF221" s="290"/>
      <c r="AG221" s="290"/>
      <c r="AH221" s="290"/>
    </row>
    <row r="222" spans="1:34">
      <c r="A222" s="290"/>
      <c r="B222" s="290"/>
      <c r="C222" s="290"/>
      <c r="D222" s="290"/>
      <c r="E222" s="290"/>
      <c r="F222" s="290"/>
      <c r="G222" s="290"/>
      <c r="H222" s="290"/>
      <c r="I222" s="290"/>
      <c r="J222" s="290"/>
      <c r="K222" s="290"/>
      <c r="L222" s="290"/>
      <c r="M222" s="290"/>
      <c r="N222" s="290"/>
      <c r="O222" s="290"/>
      <c r="P222" s="290"/>
      <c r="Q222" s="290"/>
      <c r="R222" s="290"/>
      <c r="S222" s="290"/>
      <c r="T222" s="290"/>
      <c r="U222" s="290"/>
      <c r="V222" s="290"/>
      <c r="W222" s="290"/>
      <c r="X222" s="290"/>
      <c r="Y222" s="290"/>
      <c r="Z222" s="290"/>
      <c r="AA222" s="290"/>
      <c r="AB222" s="290"/>
      <c r="AC222" s="290"/>
      <c r="AD222" s="290"/>
      <c r="AE222" s="290"/>
      <c r="AF222" s="290"/>
      <c r="AG222" s="290"/>
      <c r="AH222" s="290"/>
    </row>
    <row r="223" spans="1:34">
      <c r="A223" s="290"/>
      <c r="B223" s="290"/>
      <c r="C223" s="290"/>
      <c r="D223" s="290"/>
      <c r="E223" s="290"/>
      <c r="F223" s="290"/>
      <c r="G223" s="290"/>
      <c r="H223" s="290"/>
      <c r="I223" s="290"/>
      <c r="J223" s="290"/>
      <c r="K223" s="290"/>
      <c r="L223" s="290"/>
      <c r="M223" s="290"/>
      <c r="N223" s="290"/>
      <c r="O223" s="290"/>
      <c r="P223" s="290"/>
      <c r="Q223" s="290"/>
      <c r="R223" s="290"/>
      <c r="S223" s="290"/>
      <c r="T223" s="290"/>
      <c r="U223" s="290"/>
      <c r="V223" s="290"/>
      <c r="W223" s="290"/>
      <c r="X223" s="290"/>
      <c r="Y223" s="290"/>
      <c r="Z223" s="290"/>
      <c r="AA223" s="290"/>
      <c r="AB223" s="290"/>
      <c r="AC223" s="290"/>
      <c r="AD223" s="290"/>
      <c r="AE223" s="290"/>
      <c r="AF223" s="290"/>
      <c r="AG223" s="290"/>
      <c r="AH223" s="290"/>
    </row>
    <row r="224" spans="1:34">
      <c r="A224" s="290"/>
      <c r="B224" s="290"/>
      <c r="C224" s="290"/>
      <c r="D224" s="290"/>
      <c r="E224" s="290"/>
      <c r="F224" s="290"/>
      <c r="G224" s="290"/>
      <c r="H224" s="290"/>
      <c r="I224" s="290"/>
      <c r="J224" s="290"/>
      <c r="K224" s="290"/>
      <c r="L224" s="290"/>
      <c r="M224" s="290"/>
      <c r="N224" s="290"/>
      <c r="O224" s="290"/>
      <c r="P224" s="290"/>
      <c r="Q224" s="290"/>
      <c r="R224" s="290"/>
      <c r="S224" s="290"/>
      <c r="T224" s="290"/>
      <c r="U224" s="290"/>
      <c r="V224" s="290"/>
      <c r="W224" s="290"/>
      <c r="X224" s="290"/>
      <c r="Y224" s="290"/>
      <c r="Z224" s="290"/>
      <c r="AA224" s="290"/>
      <c r="AB224" s="290"/>
      <c r="AC224" s="290"/>
      <c r="AD224" s="290"/>
      <c r="AE224" s="290"/>
      <c r="AF224" s="290"/>
      <c r="AG224" s="290"/>
      <c r="AH224" s="290"/>
    </row>
    <row r="225" spans="1:34">
      <c r="A225" s="290"/>
      <c r="B225" s="290"/>
      <c r="C225" s="290"/>
      <c r="D225" s="290"/>
      <c r="E225" s="290"/>
      <c r="F225" s="290"/>
      <c r="G225" s="290"/>
      <c r="H225" s="290"/>
      <c r="I225" s="290"/>
      <c r="J225" s="290"/>
      <c r="K225" s="290"/>
      <c r="L225" s="290"/>
      <c r="M225" s="290"/>
      <c r="N225" s="290"/>
      <c r="O225" s="290"/>
      <c r="P225" s="290"/>
      <c r="Q225" s="290"/>
      <c r="R225" s="290"/>
      <c r="S225" s="290"/>
      <c r="T225" s="290"/>
      <c r="U225" s="290"/>
      <c r="V225" s="290"/>
      <c r="W225" s="290"/>
      <c r="X225" s="290"/>
      <c r="Y225" s="290"/>
      <c r="Z225" s="290"/>
      <c r="AA225" s="290"/>
      <c r="AB225" s="290"/>
      <c r="AC225" s="290"/>
      <c r="AD225" s="290"/>
      <c r="AE225" s="290"/>
      <c r="AF225" s="290"/>
      <c r="AG225" s="290"/>
      <c r="AH225" s="290"/>
    </row>
    <row r="226" spans="1:34">
      <c r="A226" s="290"/>
      <c r="B226" s="290"/>
      <c r="C226" s="290"/>
      <c r="D226" s="290"/>
      <c r="E226" s="290"/>
      <c r="F226" s="290"/>
      <c r="G226" s="290"/>
      <c r="H226" s="290"/>
      <c r="I226" s="290"/>
      <c r="J226" s="290"/>
      <c r="K226" s="290"/>
      <c r="L226" s="290"/>
      <c r="M226" s="290"/>
      <c r="N226" s="290"/>
      <c r="O226" s="290"/>
      <c r="P226" s="290"/>
      <c r="Q226" s="290"/>
      <c r="R226" s="290"/>
      <c r="S226" s="290"/>
      <c r="T226" s="290"/>
      <c r="U226" s="290"/>
      <c r="V226" s="290"/>
      <c r="W226" s="290"/>
      <c r="X226" s="290"/>
      <c r="Y226" s="290"/>
      <c r="Z226" s="290"/>
      <c r="AA226" s="290"/>
      <c r="AB226" s="290"/>
      <c r="AC226" s="290"/>
      <c r="AD226" s="290"/>
      <c r="AE226" s="290"/>
      <c r="AF226" s="290"/>
      <c r="AG226" s="290"/>
      <c r="AH226" s="290"/>
    </row>
    <row r="227" spans="1:34">
      <c r="A227" s="290"/>
      <c r="B227" s="290"/>
      <c r="C227" s="290"/>
      <c r="D227" s="290"/>
      <c r="E227" s="290"/>
      <c r="F227" s="290"/>
      <c r="G227" s="290"/>
      <c r="H227" s="290"/>
      <c r="I227" s="290"/>
      <c r="J227" s="290"/>
      <c r="K227" s="290"/>
      <c r="L227" s="290"/>
      <c r="M227" s="290"/>
      <c r="N227" s="290"/>
      <c r="O227" s="290"/>
      <c r="P227" s="290"/>
      <c r="Q227" s="290"/>
      <c r="R227" s="290"/>
      <c r="S227" s="290"/>
      <c r="T227" s="290"/>
      <c r="U227" s="290"/>
      <c r="V227" s="290"/>
      <c r="W227" s="290"/>
      <c r="X227" s="290"/>
      <c r="Y227" s="290"/>
      <c r="Z227" s="290"/>
      <c r="AA227" s="290"/>
      <c r="AB227" s="290"/>
      <c r="AC227" s="290"/>
      <c r="AD227" s="290"/>
      <c r="AE227" s="290"/>
      <c r="AF227" s="290"/>
      <c r="AG227" s="290"/>
      <c r="AH227" s="290"/>
    </row>
    <row r="228" spans="1:34">
      <c r="A228" s="290"/>
      <c r="B228" s="290"/>
      <c r="C228" s="290"/>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row>
    <row r="229" spans="1:34">
      <c r="A229" s="290"/>
      <c r="B229" s="290"/>
      <c r="C229" s="290"/>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row>
    <row r="230" spans="1:34">
      <c r="A230" s="290"/>
      <c r="B230" s="290"/>
      <c r="C230" s="290"/>
      <c r="D230" s="290"/>
      <c r="E230" s="290"/>
      <c r="F230" s="290"/>
      <c r="G230" s="290"/>
      <c r="H230" s="290"/>
      <c r="I230" s="290"/>
      <c r="J230" s="290"/>
      <c r="K230" s="290"/>
      <c r="L230" s="290"/>
      <c r="M230" s="290"/>
      <c r="N230" s="290"/>
      <c r="O230" s="290"/>
      <c r="P230" s="290"/>
      <c r="Q230" s="290"/>
      <c r="R230" s="290"/>
      <c r="S230" s="290"/>
      <c r="T230" s="290"/>
      <c r="U230" s="290"/>
      <c r="V230" s="290"/>
      <c r="W230" s="290"/>
      <c r="X230" s="290"/>
      <c r="Y230" s="290"/>
      <c r="Z230" s="290"/>
      <c r="AA230" s="290"/>
      <c r="AB230" s="290"/>
      <c r="AC230" s="290"/>
      <c r="AD230" s="290"/>
      <c r="AE230" s="290"/>
      <c r="AF230" s="290"/>
      <c r="AG230" s="290"/>
      <c r="AH230" s="290"/>
    </row>
    <row r="231" spans="1:34">
      <c r="A231" s="290"/>
      <c r="B231" s="290"/>
      <c r="C231" s="290"/>
      <c r="D231" s="290"/>
      <c r="E231" s="290"/>
      <c r="F231" s="290"/>
      <c r="G231" s="290"/>
      <c r="H231" s="290"/>
      <c r="I231" s="290"/>
      <c r="J231" s="290"/>
      <c r="K231" s="290"/>
      <c r="L231" s="290"/>
      <c r="M231" s="290"/>
      <c r="N231" s="290"/>
      <c r="O231" s="290"/>
      <c r="P231" s="290"/>
      <c r="Q231" s="290"/>
      <c r="R231" s="290"/>
      <c r="S231" s="290"/>
      <c r="T231" s="290"/>
      <c r="U231" s="290"/>
      <c r="V231" s="290"/>
      <c r="W231" s="290"/>
      <c r="X231" s="290"/>
      <c r="Y231" s="290"/>
      <c r="Z231" s="290"/>
      <c r="AA231" s="290"/>
      <c r="AB231" s="290"/>
      <c r="AC231" s="290"/>
      <c r="AD231" s="290"/>
      <c r="AE231" s="290"/>
      <c r="AF231" s="290"/>
      <c r="AG231" s="290"/>
      <c r="AH231" s="290"/>
    </row>
    <row r="232" spans="1:34">
      <c r="A232" s="290"/>
      <c r="B232" s="290"/>
      <c r="C232" s="290"/>
      <c r="D232" s="290"/>
      <c r="E232" s="290"/>
      <c r="F232" s="290"/>
      <c r="G232" s="290"/>
      <c r="H232" s="290"/>
      <c r="I232" s="290"/>
      <c r="J232" s="290"/>
      <c r="K232" s="290"/>
      <c r="L232" s="290"/>
      <c r="M232" s="290"/>
      <c r="N232" s="290"/>
      <c r="O232" s="290"/>
      <c r="P232" s="290"/>
      <c r="Q232" s="290"/>
      <c r="R232" s="290"/>
      <c r="S232" s="290"/>
      <c r="T232" s="290"/>
      <c r="U232" s="290"/>
      <c r="V232" s="290"/>
      <c r="W232" s="290"/>
      <c r="X232" s="290"/>
      <c r="Y232" s="290"/>
      <c r="Z232" s="290"/>
      <c r="AA232" s="290"/>
      <c r="AB232" s="290"/>
      <c r="AC232" s="290"/>
      <c r="AD232" s="290"/>
      <c r="AE232" s="290"/>
      <c r="AF232" s="290"/>
      <c r="AG232" s="290"/>
      <c r="AH232" s="290"/>
    </row>
    <row r="233" spans="1:34">
      <c r="A233" s="290"/>
      <c r="B233" s="290"/>
      <c r="C233" s="290"/>
      <c r="D233" s="290"/>
      <c r="E233" s="290"/>
      <c r="F233" s="290"/>
      <c r="G233" s="290"/>
      <c r="H233" s="290"/>
      <c r="I233" s="290"/>
      <c r="J233" s="290"/>
      <c r="K233" s="290"/>
      <c r="L233" s="290"/>
      <c r="M233" s="290"/>
      <c r="N233" s="290"/>
      <c r="O233" s="290"/>
      <c r="P233" s="290"/>
      <c r="Q233" s="290"/>
      <c r="R233" s="290"/>
      <c r="S233" s="290"/>
      <c r="T233" s="290"/>
      <c r="U233" s="290"/>
      <c r="V233" s="290"/>
      <c r="W233" s="290"/>
      <c r="X233" s="290"/>
      <c r="Y233" s="290"/>
      <c r="Z233" s="290"/>
      <c r="AA233" s="290"/>
      <c r="AB233" s="290"/>
      <c r="AC233" s="290"/>
      <c r="AD233" s="290"/>
      <c r="AE233" s="290"/>
      <c r="AF233" s="290"/>
      <c r="AG233" s="290"/>
      <c r="AH233" s="290"/>
    </row>
    <row r="234" spans="1:34">
      <c r="A234" s="290"/>
      <c r="B234" s="290"/>
      <c r="C234" s="290"/>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row>
    <row r="235" spans="1:34">
      <c r="A235" s="290"/>
      <c r="B235" s="290"/>
      <c r="C235" s="290"/>
      <c r="D235" s="290"/>
      <c r="E235" s="290"/>
      <c r="F235" s="290"/>
      <c r="G235" s="290"/>
      <c r="H235" s="290"/>
      <c r="I235" s="290"/>
      <c r="J235" s="290"/>
      <c r="K235" s="290"/>
      <c r="L235" s="290"/>
      <c r="M235" s="290"/>
      <c r="N235" s="290"/>
      <c r="O235" s="290"/>
      <c r="P235" s="290"/>
      <c r="Q235" s="290"/>
      <c r="R235" s="290"/>
      <c r="S235" s="290"/>
      <c r="T235" s="290"/>
      <c r="U235" s="290"/>
      <c r="V235" s="290"/>
      <c r="W235" s="290"/>
      <c r="X235" s="290"/>
      <c r="Y235" s="290"/>
      <c r="Z235" s="290"/>
      <c r="AA235" s="290"/>
      <c r="AB235" s="290"/>
      <c r="AC235" s="290"/>
      <c r="AD235" s="290"/>
      <c r="AE235" s="290"/>
      <c r="AF235" s="290"/>
      <c r="AG235" s="290"/>
      <c r="AH235" s="290"/>
    </row>
    <row r="236" spans="1:34">
      <c r="A236" s="290"/>
      <c r="B236" s="290"/>
      <c r="C236" s="290"/>
      <c r="D236" s="290"/>
      <c r="E236" s="290"/>
      <c r="F236" s="290"/>
      <c r="G236" s="290"/>
      <c r="H236" s="290"/>
      <c r="I236" s="290"/>
      <c r="J236" s="290"/>
      <c r="K236" s="290"/>
      <c r="L236" s="290"/>
      <c r="M236" s="290"/>
      <c r="N236" s="290"/>
      <c r="O236" s="290"/>
      <c r="P236" s="290"/>
      <c r="Q236" s="290"/>
      <c r="R236" s="290"/>
      <c r="S236" s="290"/>
      <c r="T236" s="290"/>
      <c r="U236" s="290"/>
      <c r="V236" s="290"/>
      <c r="W236" s="290"/>
      <c r="X236" s="290"/>
      <c r="Y236" s="290"/>
      <c r="Z236" s="290"/>
      <c r="AA236" s="290"/>
      <c r="AB236" s="290"/>
      <c r="AC236" s="290"/>
      <c r="AD236" s="290"/>
      <c r="AE236" s="290"/>
      <c r="AF236" s="290"/>
      <c r="AG236" s="290"/>
      <c r="AH236" s="290"/>
    </row>
    <row r="237" spans="1:34">
      <c r="A237" s="290"/>
      <c r="B237" s="290"/>
      <c r="C237" s="290"/>
      <c r="D237" s="290"/>
      <c r="E237" s="290"/>
      <c r="F237" s="290"/>
      <c r="G237" s="290"/>
      <c r="H237" s="290"/>
      <c r="I237" s="290"/>
      <c r="J237" s="290"/>
      <c r="K237" s="290"/>
      <c r="L237" s="290"/>
      <c r="M237" s="290"/>
      <c r="N237" s="290"/>
      <c r="O237" s="290"/>
      <c r="P237" s="290"/>
      <c r="Q237" s="290"/>
      <c r="R237" s="290"/>
      <c r="S237" s="290"/>
      <c r="T237" s="290"/>
      <c r="U237" s="290"/>
      <c r="V237" s="290"/>
      <c r="W237" s="290"/>
      <c r="X237" s="290"/>
      <c r="Y237" s="290"/>
      <c r="Z237" s="290"/>
      <c r="AA237" s="290"/>
      <c r="AB237" s="290"/>
      <c r="AC237" s="290"/>
      <c r="AD237" s="290"/>
      <c r="AE237" s="290"/>
      <c r="AF237" s="290"/>
      <c r="AG237" s="290"/>
      <c r="AH237" s="290"/>
    </row>
    <row r="238" spans="1:34">
      <c r="A238" s="290"/>
      <c r="B238" s="290"/>
      <c r="C238" s="290"/>
      <c r="D238" s="290"/>
      <c r="E238" s="290"/>
      <c r="F238" s="290"/>
      <c r="G238" s="290"/>
      <c r="H238" s="290"/>
      <c r="I238" s="290"/>
      <c r="J238" s="290"/>
      <c r="K238" s="290"/>
      <c r="L238" s="290"/>
      <c r="M238" s="290"/>
      <c r="N238" s="290"/>
      <c r="O238" s="290"/>
      <c r="P238" s="290"/>
      <c r="Q238" s="290"/>
      <c r="R238" s="290"/>
      <c r="S238" s="290"/>
      <c r="T238" s="290"/>
      <c r="U238" s="290"/>
      <c r="V238" s="290"/>
      <c r="W238" s="290"/>
      <c r="X238" s="290"/>
      <c r="Y238" s="290"/>
      <c r="Z238" s="290"/>
      <c r="AA238" s="290"/>
      <c r="AB238" s="290"/>
      <c r="AC238" s="290"/>
      <c r="AD238" s="290"/>
      <c r="AE238" s="290"/>
      <c r="AF238" s="290"/>
      <c r="AG238" s="290"/>
      <c r="AH238" s="290"/>
    </row>
    <row r="239" spans="1:34">
      <c r="A239" s="290"/>
      <c r="B239" s="290"/>
      <c r="C239" s="290"/>
      <c r="D239" s="290"/>
      <c r="E239" s="290"/>
      <c r="F239" s="290"/>
      <c r="G239" s="290"/>
      <c r="H239" s="290"/>
      <c r="I239" s="290"/>
      <c r="J239" s="290"/>
      <c r="K239" s="290"/>
      <c r="L239" s="290"/>
      <c r="M239" s="290"/>
      <c r="N239" s="290"/>
      <c r="O239" s="290"/>
      <c r="P239" s="290"/>
      <c r="Q239" s="290"/>
      <c r="R239" s="290"/>
      <c r="S239" s="290"/>
      <c r="T239" s="290"/>
      <c r="U239" s="290"/>
      <c r="V239" s="290"/>
      <c r="W239" s="290"/>
      <c r="X239" s="290"/>
      <c r="Y239" s="290"/>
      <c r="Z239" s="290"/>
      <c r="AA239" s="290"/>
      <c r="AB239" s="290"/>
      <c r="AC239" s="290"/>
      <c r="AD239" s="290"/>
      <c r="AE239" s="290"/>
      <c r="AF239" s="290"/>
      <c r="AG239" s="290"/>
      <c r="AH239" s="290"/>
    </row>
    <row r="240" spans="1:34">
      <c r="A240" s="290"/>
      <c r="B240" s="290"/>
      <c r="C240" s="290"/>
      <c r="D240" s="290"/>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row>
    <row r="241" spans="1:34">
      <c r="A241" s="290"/>
      <c r="B241" s="290"/>
      <c r="C241" s="290"/>
      <c r="D241" s="290"/>
      <c r="E241" s="290"/>
      <c r="F241" s="290"/>
      <c r="G241" s="290"/>
      <c r="H241" s="290"/>
      <c r="I241" s="290"/>
      <c r="J241" s="290"/>
      <c r="K241" s="290"/>
      <c r="L241" s="290"/>
      <c r="M241" s="290"/>
      <c r="N241" s="290"/>
      <c r="O241" s="290"/>
      <c r="P241" s="290"/>
      <c r="Q241" s="290"/>
      <c r="R241" s="290"/>
      <c r="S241" s="290"/>
      <c r="T241" s="290"/>
      <c r="U241" s="290"/>
      <c r="V241" s="290"/>
      <c r="W241" s="290"/>
      <c r="X241" s="290"/>
      <c r="Y241" s="290"/>
      <c r="Z241" s="290"/>
      <c r="AA241" s="290"/>
      <c r="AB241" s="290"/>
      <c r="AC241" s="290"/>
      <c r="AD241" s="290"/>
      <c r="AE241" s="290"/>
      <c r="AF241" s="290"/>
      <c r="AG241" s="290"/>
      <c r="AH241" s="290"/>
    </row>
    <row r="242" spans="1:34">
      <c r="A242" s="290"/>
      <c r="B242" s="290"/>
      <c r="C242" s="290"/>
      <c r="D242" s="290"/>
      <c r="E242" s="290"/>
      <c r="F242" s="290"/>
      <c r="G242" s="290"/>
      <c r="H242" s="290"/>
      <c r="I242" s="290"/>
      <c r="J242" s="290"/>
      <c r="K242" s="290"/>
      <c r="L242" s="290"/>
      <c r="M242" s="290"/>
      <c r="N242" s="290"/>
      <c r="O242" s="290"/>
      <c r="P242" s="290"/>
      <c r="Q242" s="290"/>
      <c r="R242" s="290"/>
      <c r="S242" s="290"/>
      <c r="T242" s="290"/>
      <c r="U242" s="290"/>
      <c r="V242" s="290"/>
      <c r="W242" s="290"/>
      <c r="X242" s="290"/>
      <c r="Y242" s="290"/>
      <c r="Z242" s="290"/>
      <c r="AA242" s="290"/>
      <c r="AB242" s="290"/>
      <c r="AC242" s="290"/>
      <c r="AD242" s="290"/>
      <c r="AE242" s="290"/>
      <c r="AF242" s="290"/>
      <c r="AG242" s="290"/>
      <c r="AH242" s="290"/>
    </row>
    <row r="243" spans="1:34">
      <c r="A243" s="290"/>
      <c r="B243" s="290"/>
      <c r="C243" s="290"/>
      <c r="D243" s="290"/>
      <c r="E243" s="290"/>
      <c r="F243" s="290"/>
      <c r="G243" s="290"/>
      <c r="H243" s="290"/>
      <c r="I243" s="290"/>
      <c r="J243" s="290"/>
      <c r="K243" s="290"/>
      <c r="L243" s="290"/>
      <c r="M243" s="290"/>
      <c r="N243" s="290"/>
      <c r="O243" s="290"/>
      <c r="P243" s="290"/>
      <c r="Q243" s="290"/>
      <c r="R243" s="290"/>
      <c r="S243" s="290"/>
      <c r="T243" s="290"/>
      <c r="U243" s="290"/>
      <c r="V243" s="290"/>
      <c r="W243" s="290"/>
      <c r="X243" s="290"/>
      <c r="Y243" s="290"/>
      <c r="Z243" s="290"/>
      <c r="AA243" s="290"/>
      <c r="AB243" s="290"/>
      <c r="AC243" s="290"/>
      <c r="AD243" s="290"/>
      <c r="AE243" s="290"/>
      <c r="AF243" s="290"/>
      <c r="AG243" s="290"/>
      <c r="AH243" s="290"/>
    </row>
    <row r="244" spans="1:34">
      <c r="A244" s="290"/>
      <c r="B244" s="290"/>
      <c r="C244" s="290"/>
      <c r="D244" s="290"/>
      <c r="E244" s="290"/>
      <c r="F244" s="290"/>
      <c r="G244" s="290"/>
      <c r="H244" s="290"/>
      <c r="I244" s="290"/>
      <c r="J244" s="290"/>
      <c r="K244" s="290"/>
      <c r="L244" s="290"/>
      <c r="M244" s="290"/>
      <c r="N244" s="290"/>
      <c r="O244" s="290"/>
      <c r="P244" s="290"/>
      <c r="Q244" s="290"/>
      <c r="R244" s="290"/>
      <c r="S244" s="290"/>
      <c r="T244" s="290"/>
      <c r="U244" s="290"/>
      <c r="V244" s="290"/>
      <c r="W244" s="290"/>
      <c r="X244" s="290"/>
      <c r="Y244" s="290"/>
      <c r="Z244" s="290"/>
      <c r="AA244" s="290"/>
      <c r="AB244" s="290"/>
      <c r="AC244" s="290"/>
      <c r="AD244" s="290"/>
      <c r="AE244" s="290"/>
      <c r="AF244" s="290"/>
      <c r="AG244" s="290"/>
      <c r="AH244" s="290"/>
    </row>
    <row r="245" spans="1:34">
      <c r="A245" s="290"/>
      <c r="B245" s="290"/>
      <c r="C245" s="290"/>
      <c r="D245" s="290"/>
      <c r="E245" s="290"/>
      <c r="F245" s="290"/>
      <c r="G245" s="290"/>
      <c r="H245" s="290"/>
      <c r="I245" s="290"/>
      <c r="J245" s="290"/>
      <c r="K245" s="290"/>
      <c r="L245" s="290"/>
      <c r="M245" s="290"/>
      <c r="N245" s="290"/>
      <c r="O245" s="290"/>
      <c r="P245" s="290"/>
      <c r="Q245" s="290"/>
      <c r="R245" s="290"/>
      <c r="S245" s="290"/>
      <c r="T245" s="290"/>
      <c r="U245" s="290"/>
      <c r="V245" s="290"/>
      <c r="W245" s="290"/>
      <c r="X245" s="290"/>
      <c r="Y245" s="290"/>
      <c r="Z245" s="290"/>
      <c r="AA245" s="290"/>
      <c r="AB245" s="290"/>
      <c r="AC245" s="290"/>
      <c r="AD245" s="290"/>
      <c r="AE245" s="290"/>
      <c r="AF245" s="290"/>
      <c r="AG245" s="290"/>
      <c r="AH245" s="290"/>
    </row>
  </sheetData>
  <pageMargins left="0.7" right="0.7" top="1.1811023622047201" bottom="0.75" header="0.3" footer="0.3"/>
  <pageSetup paperSize="9" orientation="portrait" horizontalDpi="90" verticalDpi="90" r:id="rId1"/>
  <headerFooter scaleWithDoc="0">
    <oddHeader>&amp;L&amp;"NotesEsa,Regular"&amp;9&amp;R&amp;G</oddHeader>
    <oddFooter>&amp;L&amp;"Georgia,Regular"&amp;9Page &amp;P / &amp;N&amp;R&amp;G</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AB89"/>
  <sheetViews>
    <sheetView topLeftCell="B1" zoomScale="40" zoomScaleNormal="40" workbookViewId="0">
      <selection activeCell="T9" sqref="T9"/>
    </sheetView>
  </sheetViews>
  <sheetFormatPr defaultColWidth="8.83203125" defaultRowHeight="15"/>
  <cols>
    <col min="1" max="1" width="14.83203125" style="341" bestFit="1" customWidth="1"/>
    <col min="2" max="2" width="35.6640625" style="341" customWidth="1"/>
    <col min="3" max="3" width="6.33203125" style="341" customWidth="1"/>
    <col min="4" max="4" width="13.5" style="341" bestFit="1" customWidth="1"/>
    <col min="5" max="5" width="6.33203125" style="341" customWidth="1"/>
    <col min="6" max="6" width="13.5" style="341" bestFit="1" customWidth="1"/>
    <col min="7" max="7" width="6.33203125" style="341" customWidth="1"/>
    <col min="8" max="8" width="13.5" style="341" bestFit="1" customWidth="1"/>
    <col min="9" max="9" width="6.33203125" style="341" customWidth="1"/>
    <col min="10" max="10" width="13.5" style="341" bestFit="1" customWidth="1"/>
    <col min="11" max="11" width="6.33203125" style="341" customWidth="1"/>
    <col min="12" max="12" width="13.5" style="341" bestFit="1" customWidth="1"/>
    <col min="13" max="13" width="6.33203125" style="341" customWidth="1"/>
    <col min="14" max="14" width="13.5" style="341" bestFit="1" customWidth="1"/>
    <col min="15" max="15" width="6.33203125" style="341" customWidth="1"/>
    <col min="16" max="16" width="13.5" style="341" bestFit="1" customWidth="1"/>
    <col min="17" max="17" width="6.33203125" style="341" customWidth="1"/>
    <col min="18" max="18" width="13.5" style="341" bestFit="1" customWidth="1"/>
    <col min="19" max="19" width="6.33203125" style="341" customWidth="1"/>
    <col min="20" max="20" width="14.83203125" style="341" bestFit="1" customWidth="1"/>
    <col min="21" max="28" width="8.83203125" style="292"/>
    <col min="29" max="16384" width="8.83203125" style="341"/>
  </cols>
  <sheetData>
    <row r="1" spans="1:20" ht="23.25">
      <c r="A1" s="292"/>
      <c r="B1" s="293" t="s">
        <v>384</v>
      </c>
      <c r="C1" s="292"/>
      <c r="D1" s="292"/>
      <c r="E1" s="292"/>
      <c r="F1" s="292"/>
      <c r="G1" s="292"/>
      <c r="H1" s="292"/>
      <c r="I1" s="292"/>
      <c r="J1" s="292"/>
      <c r="K1" s="292"/>
      <c r="L1" s="292"/>
      <c r="M1" s="292"/>
      <c r="N1" s="292"/>
      <c r="O1" s="292"/>
      <c r="P1" s="292"/>
      <c r="Q1" s="292"/>
      <c r="R1" s="292"/>
      <c r="S1" s="292"/>
      <c r="T1" s="294" t="s">
        <v>446</v>
      </c>
    </row>
    <row r="2" spans="1:20">
      <c r="A2" s="292"/>
      <c r="B2" s="292" t="s">
        <v>385</v>
      </c>
      <c r="C2" s="292"/>
      <c r="D2" s="292"/>
      <c r="E2" s="292"/>
      <c r="F2" s="292"/>
      <c r="G2" s="292"/>
      <c r="H2" s="292"/>
      <c r="I2" s="292"/>
      <c r="J2" s="292"/>
      <c r="K2" s="292"/>
      <c r="L2" s="292"/>
      <c r="M2" s="292"/>
      <c r="N2" s="292"/>
      <c r="O2" s="292"/>
      <c r="P2" s="292"/>
      <c r="Q2" s="292"/>
      <c r="R2" s="292" t="s">
        <v>386</v>
      </c>
      <c r="S2" s="292"/>
      <c r="T2" s="292" t="s">
        <v>387</v>
      </c>
    </row>
    <row r="3" spans="1:20">
      <c r="A3" s="292"/>
      <c r="B3" s="295" t="s">
        <v>447</v>
      </c>
      <c r="C3" s="292"/>
      <c r="D3" s="292"/>
      <c r="E3" s="292"/>
      <c r="F3" s="292"/>
      <c r="G3" s="292"/>
      <c r="H3" s="292"/>
      <c r="I3" s="292"/>
      <c r="J3" s="292"/>
      <c r="K3" s="292"/>
      <c r="L3" s="292"/>
      <c r="M3" s="292"/>
      <c r="N3" s="292"/>
      <c r="O3" s="292"/>
      <c r="P3" s="292"/>
      <c r="Q3" s="292"/>
      <c r="R3" s="292" t="s">
        <v>388</v>
      </c>
      <c r="S3" s="292"/>
      <c r="T3" s="292" t="s">
        <v>389</v>
      </c>
    </row>
    <row r="4" spans="1:20">
      <c r="A4" s="292"/>
      <c r="B4" s="292" t="s">
        <v>390</v>
      </c>
      <c r="C4" s="292"/>
      <c r="D4" s="292"/>
      <c r="E4" s="292"/>
      <c r="F4" s="292"/>
      <c r="G4" s="292"/>
      <c r="H4" s="292"/>
      <c r="I4" s="292"/>
      <c r="J4" s="292"/>
      <c r="K4" s="292"/>
      <c r="L4" s="292"/>
      <c r="M4" s="292"/>
      <c r="N4" s="292"/>
      <c r="O4" s="292"/>
      <c r="P4" s="292"/>
      <c r="Q4" s="292"/>
      <c r="R4" s="292"/>
      <c r="S4" s="292"/>
      <c r="T4" s="294" t="s">
        <v>362</v>
      </c>
    </row>
    <row r="5" spans="1:20">
      <c r="A5" s="292"/>
      <c r="B5" s="292" t="s">
        <v>391</v>
      </c>
      <c r="C5" s="292"/>
      <c r="D5" s="292"/>
      <c r="E5" s="292"/>
      <c r="F5" s="292"/>
      <c r="G5" s="292"/>
      <c r="H5" s="292"/>
      <c r="I5" s="292"/>
      <c r="J5" s="292"/>
      <c r="K5" s="292"/>
      <c r="L5" s="292"/>
      <c r="M5" s="292"/>
      <c r="N5" s="292"/>
      <c r="O5" s="292"/>
      <c r="P5" s="292"/>
      <c r="Q5" s="292"/>
      <c r="R5" s="292"/>
      <c r="S5" s="292"/>
      <c r="T5" s="294" t="s">
        <v>448</v>
      </c>
    </row>
    <row r="6" spans="1:20">
      <c r="A6" s="292"/>
      <c r="B6" s="294" t="s">
        <v>449</v>
      </c>
      <c r="C6" s="292"/>
      <c r="D6" s="292"/>
      <c r="E6" s="292"/>
      <c r="F6" s="292"/>
      <c r="G6" s="292"/>
      <c r="H6" s="292"/>
      <c r="I6" s="292"/>
      <c r="J6" s="292"/>
      <c r="K6" s="292"/>
      <c r="L6" s="292"/>
      <c r="M6" s="292"/>
      <c r="N6" s="292"/>
      <c r="O6" s="292"/>
      <c r="P6" s="292"/>
      <c r="Q6" s="292"/>
      <c r="R6" s="292"/>
      <c r="S6" s="292"/>
      <c r="T6" s="292"/>
    </row>
    <row r="7" spans="1:20">
      <c r="A7" s="292"/>
      <c r="B7" s="292" t="s">
        <v>392</v>
      </c>
      <c r="C7" s="292"/>
      <c r="D7" s="292"/>
      <c r="E7" s="292"/>
      <c r="F7" s="292"/>
      <c r="G7" s="292"/>
      <c r="H7" s="292"/>
      <c r="I7" s="292"/>
      <c r="J7" s="292"/>
      <c r="K7" s="292"/>
      <c r="L7" s="292"/>
      <c r="M7" s="292"/>
      <c r="N7" s="292"/>
      <c r="O7" s="292"/>
      <c r="P7" s="292"/>
      <c r="Q7" s="292"/>
      <c r="R7" s="292"/>
      <c r="S7" s="292"/>
      <c r="T7" s="292"/>
    </row>
    <row r="8" spans="1:20">
      <c r="A8" s="292"/>
      <c r="B8" s="296" t="s">
        <v>393</v>
      </c>
      <c r="C8" s="292"/>
      <c r="D8" s="292"/>
      <c r="E8" s="292"/>
      <c r="F8" s="292"/>
      <c r="G8" s="292"/>
      <c r="H8" s="292"/>
      <c r="I8" s="292"/>
      <c r="J8" s="292"/>
      <c r="K8" s="292"/>
      <c r="L8" s="292"/>
      <c r="M8" s="292"/>
      <c r="N8" s="292"/>
      <c r="O8" s="292"/>
      <c r="P8" s="292"/>
      <c r="Q8" s="292"/>
      <c r="R8" s="292"/>
      <c r="S8" s="292"/>
      <c r="T8" s="292"/>
    </row>
    <row r="9" spans="1:20">
      <c r="A9" s="292"/>
      <c r="B9" s="292"/>
      <c r="C9" s="292"/>
      <c r="D9" s="292"/>
      <c r="E9" s="292"/>
      <c r="F9" s="292"/>
      <c r="G9" s="292"/>
      <c r="H9" s="292"/>
      <c r="I9" s="292"/>
      <c r="J9" s="292"/>
      <c r="K9" s="292"/>
      <c r="L9" s="292"/>
      <c r="M9" s="292"/>
      <c r="N9" s="292"/>
      <c r="O9" s="292"/>
      <c r="P9" s="292"/>
      <c r="Q9" s="292"/>
      <c r="R9" s="292"/>
      <c r="S9" s="292"/>
      <c r="T9" s="292"/>
    </row>
    <row r="10" spans="1:20">
      <c r="A10" s="292"/>
      <c r="B10" s="296" t="s">
        <v>394</v>
      </c>
      <c r="C10" s="292"/>
      <c r="D10" s="292"/>
      <c r="E10" s="292"/>
      <c r="F10" s="292"/>
      <c r="G10" s="292"/>
      <c r="H10" s="292"/>
      <c r="I10" s="292"/>
      <c r="J10" s="292"/>
      <c r="K10" s="292"/>
      <c r="L10" s="292"/>
      <c r="M10" s="292"/>
      <c r="N10" s="292"/>
      <c r="O10" s="292"/>
      <c r="P10" s="292"/>
      <c r="Q10" s="292"/>
      <c r="R10" s="292"/>
      <c r="S10" s="292"/>
      <c r="T10" s="292"/>
    </row>
    <row r="11" spans="1:20" ht="15.75" thickBot="1">
      <c r="A11" s="292"/>
      <c r="B11" s="297" t="s">
        <v>395</v>
      </c>
      <c r="C11" s="297"/>
      <c r="D11" s="297" t="s">
        <v>396</v>
      </c>
      <c r="E11" s="297"/>
      <c r="F11" s="297" t="s">
        <v>397</v>
      </c>
      <c r="G11" s="297"/>
      <c r="H11" s="297" t="s">
        <v>398</v>
      </c>
      <c r="I11" s="297"/>
      <c r="J11" s="297" t="s">
        <v>399</v>
      </c>
      <c r="K11" s="297"/>
      <c r="L11" s="297" t="s">
        <v>400</v>
      </c>
      <c r="M11" s="297"/>
      <c r="N11" s="297" t="s">
        <v>401</v>
      </c>
      <c r="O11" s="297"/>
      <c r="P11" s="297" t="s">
        <v>402</v>
      </c>
      <c r="Q11" s="297"/>
      <c r="R11" s="297" t="s">
        <v>403</v>
      </c>
      <c r="S11" s="297"/>
      <c r="T11" s="297" t="s">
        <v>404</v>
      </c>
    </row>
    <row r="12" spans="1:20" ht="15.75" thickBot="1">
      <c r="A12" s="298" t="s">
        <v>405</v>
      </c>
      <c r="B12" s="299" t="s">
        <v>138</v>
      </c>
      <c r="C12" s="300" t="s">
        <v>386</v>
      </c>
      <c r="D12" s="299" t="s">
        <v>450</v>
      </c>
      <c r="E12" s="299" t="s">
        <v>386</v>
      </c>
      <c r="F12" s="299" t="s">
        <v>88</v>
      </c>
      <c r="G12" s="300" t="s">
        <v>388</v>
      </c>
      <c r="H12" s="299" t="s">
        <v>451</v>
      </c>
      <c r="I12" s="300" t="s">
        <v>388</v>
      </c>
      <c r="J12" s="300" t="s">
        <v>406</v>
      </c>
      <c r="K12" s="300" t="s">
        <v>388</v>
      </c>
      <c r="L12" s="300"/>
      <c r="M12" s="300" t="s">
        <v>388</v>
      </c>
      <c r="N12" s="300"/>
      <c r="O12" s="300" t="s">
        <v>388</v>
      </c>
      <c r="P12" s="300"/>
      <c r="Q12" s="300" t="s">
        <v>388</v>
      </c>
      <c r="R12" s="300"/>
      <c r="S12" s="300" t="s">
        <v>388</v>
      </c>
      <c r="T12" s="301"/>
    </row>
    <row r="13" spans="1:20" ht="15.75" thickBot="1">
      <c r="A13" s="302" t="s">
        <v>407</v>
      </c>
      <c r="B13" s="303"/>
      <c r="C13" s="303">
        <f>IF(C12="&gt;",1,0)</f>
        <v>1</v>
      </c>
      <c r="D13" s="303"/>
      <c r="E13" s="303">
        <f>IF(E12="&gt;",1,0)</f>
        <v>1</v>
      </c>
      <c r="F13" s="303"/>
      <c r="G13" s="303">
        <f>IF(G12="&gt;",1,0)</f>
        <v>0</v>
      </c>
      <c r="H13" s="303"/>
      <c r="I13" s="303">
        <f>IF(I12="&gt;",1,0)</f>
        <v>0</v>
      </c>
      <c r="J13" s="303"/>
      <c r="K13" s="303">
        <f>IF(K12="&gt;",1,0)</f>
        <v>0</v>
      </c>
      <c r="L13" s="303"/>
      <c r="M13" s="303">
        <f>IF(M12="&gt;",1,0)</f>
        <v>0</v>
      </c>
      <c r="N13" s="303"/>
      <c r="O13" s="303">
        <f>IF(O12="&gt;",1,0)</f>
        <v>0</v>
      </c>
      <c r="P13" s="303"/>
      <c r="Q13" s="303">
        <f>IF(Q12="&gt;",1,0)</f>
        <v>0</v>
      </c>
      <c r="R13" s="303"/>
      <c r="S13" s="303">
        <f>IF(S12="&gt;",1,0)</f>
        <v>0</v>
      </c>
      <c r="T13" s="304"/>
    </row>
    <row r="14" spans="1:20">
      <c r="A14" s="292"/>
      <c r="B14" s="292"/>
      <c r="C14" s="292"/>
      <c r="D14" s="292"/>
      <c r="E14" s="292"/>
      <c r="F14" s="292"/>
      <c r="G14" s="292"/>
      <c r="H14" s="292"/>
      <c r="I14" s="292"/>
      <c r="J14" s="292"/>
      <c r="K14" s="292"/>
      <c r="L14" s="292"/>
      <c r="M14" s="292"/>
      <c r="N14" s="292"/>
      <c r="O14" s="292"/>
      <c r="P14" s="292"/>
      <c r="Q14" s="292"/>
      <c r="R14" s="292"/>
      <c r="S14" s="292"/>
      <c r="T14" s="292"/>
    </row>
    <row r="15" spans="1:20" ht="15.75" thickBot="1">
      <c r="A15" s="296" t="s">
        <v>452</v>
      </c>
      <c r="B15" s="292"/>
      <c r="C15" s="292"/>
      <c r="D15" s="292"/>
      <c r="E15" s="292"/>
      <c r="F15" s="292"/>
      <c r="G15" s="292"/>
      <c r="H15" s="292"/>
      <c r="I15" s="292"/>
      <c r="J15" s="292"/>
      <c r="K15" s="292"/>
      <c r="L15" s="292"/>
      <c r="M15" s="292"/>
      <c r="N15" s="292"/>
      <c r="O15" s="292"/>
      <c r="P15" s="292"/>
      <c r="Q15" s="292"/>
      <c r="R15" s="292"/>
      <c r="S15" s="292"/>
      <c r="T15" s="292"/>
    </row>
    <row r="16" spans="1:20" ht="129" thickBot="1">
      <c r="A16" s="298" t="s">
        <v>408</v>
      </c>
      <c r="B16" s="305" t="s">
        <v>453</v>
      </c>
      <c r="C16" s="306" t="str">
        <f>B17</f>
        <v>Mass</v>
      </c>
      <c r="D16" s="306" t="str">
        <f>B18</f>
        <v>Cost</v>
      </c>
      <c r="E16" s="306" t="str">
        <f>B19</f>
        <v>Power</v>
      </c>
      <c r="F16" s="306" t="str">
        <f>B20</f>
        <v>Equilibrium temperature</v>
      </c>
      <c r="G16" s="306" t="str">
        <f>B21</f>
        <v>E</v>
      </c>
      <c r="H16" s="306" t="str">
        <f>B22</f>
        <v/>
      </c>
      <c r="I16" s="306" t="str">
        <f>B23</f>
        <v/>
      </c>
      <c r="J16" s="306" t="str">
        <f>B24</f>
        <v/>
      </c>
      <c r="K16" s="306" t="str">
        <f>B25</f>
        <v/>
      </c>
      <c r="L16" s="306" t="str">
        <f>B26</f>
        <v/>
      </c>
      <c r="M16" s="307" t="s">
        <v>409</v>
      </c>
      <c r="N16" s="308" t="s">
        <v>410</v>
      </c>
      <c r="O16" s="307"/>
      <c r="P16" s="308" t="s">
        <v>411</v>
      </c>
      <c r="Q16" s="292"/>
      <c r="R16" s="292"/>
      <c r="S16" s="292"/>
      <c r="T16" s="292"/>
    </row>
    <row r="17" spans="1:20">
      <c r="A17" s="309">
        <v>1</v>
      </c>
      <c r="B17" s="310" t="str">
        <f>IF(B12="","",B12)</f>
        <v>Mass</v>
      </c>
      <c r="C17" s="311"/>
      <c r="D17" s="312">
        <f>IF(D16="",0,C13)</f>
        <v>1</v>
      </c>
      <c r="E17" s="312">
        <f>IF(E$16="",0,MAX(D17,E$13))</f>
        <v>1</v>
      </c>
      <c r="F17" s="312">
        <f>IF(F$16="",0,MAX(E17,G$13))</f>
        <v>1</v>
      </c>
      <c r="G17" s="312">
        <f>IF(F$16="",0,MAX(F17,I$13))</f>
        <v>1</v>
      </c>
      <c r="H17" s="312">
        <f>IF(H$16="",0,MAX(G17,K$13))</f>
        <v>0</v>
      </c>
      <c r="I17" s="312">
        <f>IF(I$16="",0,MAX(H17,M$13))</f>
        <v>0</v>
      </c>
      <c r="J17" s="312">
        <f>IF(J$16="",0,MAX(I17,O$13))</f>
        <v>0</v>
      </c>
      <c r="K17" s="312">
        <f>IF(K$16="",0,MAX(J17,Q$13))</f>
        <v>0</v>
      </c>
      <c r="L17" s="313">
        <f>IF(L$16="",0,MAX(K17,S$13))</f>
        <v>0</v>
      </c>
      <c r="M17" s="314">
        <f>IF(B17="","",SUM(C17:L17))</f>
        <v>4</v>
      </c>
      <c r="N17" s="315">
        <f>IF(B17="","",M17+ABS(MIN($M$17:$M$26))+1)</f>
        <v>7</v>
      </c>
      <c r="O17" s="314"/>
      <c r="P17" s="315">
        <f>IF(B17="","",N17/SUM($N$17:$N$26))</f>
        <v>0.46666666666666667</v>
      </c>
      <c r="Q17" s="292"/>
      <c r="R17" s="316"/>
      <c r="S17" s="292"/>
      <c r="T17" s="292"/>
    </row>
    <row r="18" spans="1:20">
      <c r="A18" s="309">
        <v>2</v>
      </c>
      <c r="B18" s="310" t="str">
        <f>IF(D12="","",D12)</f>
        <v>Cost</v>
      </c>
      <c r="C18" s="317">
        <f>-D17</f>
        <v>-1</v>
      </c>
      <c r="D18" s="318"/>
      <c r="E18" s="319">
        <f>IF(E$16="",0,MAX(D18,E$13))</f>
        <v>1</v>
      </c>
      <c r="F18" s="319">
        <f t="shared" ref="F18:F19" si="0">IF(F$16="",0,MAX(E18,G$13))</f>
        <v>1</v>
      </c>
      <c r="G18" s="319">
        <f t="shared" ref="G18:G20" si="1">IF(F$16="",0,MAX(F18,I$13))</f>
        <v>1</v>
      </c>
      <c r="H18" s="319">
        <f t="shared" ref="H18:H21" si="2">IF(H$16="",0,MAX(G18,K$13))</f>
        <v>0</v>
      </c>
      <c r="I18" s="319">
        <f t="shared" ref="I18:I22" si="3">IF(I$16="",0,MAX(H18,M$13))</f>
        <v>0</v>
      </c>
      <c r="J18" s="319">
        <f t="shared" ref="J18:J23" si="4">IF(J$16="",0,MAX(I18,O$13))</f>
        <v>0</v>
      </c>
      <c r="K18" s="319">
        <f t="shared" ref="K18:K24" si="5">IF(K$16="",0,MAX(J18,Q$13))</f>
        <v>0</v>
      </c>
      <c r="L18" s="320">
        <f t="shared" ref="L18:L25" si="6">IF(L$16="",0,MAX(K18,S$13))</f>
        <v>0</v>
      </c>
      <c r="M18" s="321">
        <f t="shared" ref="M18:M26" si="7">IF(B18="","",SUM(C18:L18))</f>
        <v>2</v>
      </c>
      <c r="N18" s="322">
        <f t="shared" ref="N18:N26" si="8">IF(B18="","",M18+ABS(MIN($M$17:$M$26))+1)</f>
        <v>5</v>
      </c>
      <c r="O18" s="321"/>
      <c r="P18" s="322">
        <f t="shared" ref="P18:P26" si="9">IF(B18="","",N18/SUM($N$17:$N$26))</f>
        <v>0.33333333333333331</v>
      </c>
      <c r="Q18" s="292"/>
      <c r="R18" s="316"/>
      <c r="S18" s="292"/>
      <c r="T18" s="292"/>
    </row>
    <row r="19" spans="1:20">
      <c r="A19" s="309">
        <v>3</v>
      </c>
      <c r="B19" s="310" t="str">
        <f>IF(F12="","",F12)</f>
        <v>Power</v>
      </c>
      <c r="C19" s="317">
        <f>-E17</f>
        <v>-1</v>
      </c>
      <c r="D19" s="319">
        <f>-E18</f>
        <v>-1</v>
      </c>
      <c r="E19" s="318"/>
      <c r="F19" s="319">
        <f t="shared" si="0"/>
        <v>0</v>
      </c>
      <c r="G19" s="319">
        <f t="shared" si="1"/>
        <v>0</v>
      </c>
      <c r="H19" s="319">
        <f t="shared" si="2"/>
        <v>0</v>
      </c>
      <c r="I19" s="319">
        <f t="shared" si="3"/>
        <v>0</v>
      </c>
      <c r="J19" s="319">
        <f t="shared" si="4"/>
        <v>0</v>
      </c>
      <c r="K19" s="319">
        <f t="shared" si="5"/>
        <v>0</v>
      </c>
      <c r="L19" s="320">
        <f t="shared" si="6"/>
        <v>0</v>
      </c>
      <c r="M19" s="321">
        <f t="shared" si="7"/>
        <v>-2</v>
      </c>
      <c r="N19" s="322">
        <f t="shared" si="8"/>
        <v>1</v>
      </c>
      <c r="O19" s="321"/>
      <c r="P19" s="322">
        <f t="shared" si="9"/>
        <v>6.6666666666666666E-2</v>
      </c>
      <c r="Q19" s="292"/>
      <c r="R19" s="316"/>
      <c r="S19" s="292"/>
      <c r="T19" s="292"/>
    </row>
    <row r="20" spans="1:20">
      <c r="A20" s="309">
        <v>4</v>
      </c>
      <c r="B20" s="310" t="str">
        <f>IF(H12="","",H12)</f>
        <v>Equilibrium temperature</v>
      </c>
      <c r="C20" s="317">
        <f>-F17</f>
        <v>-1</v>
      </c>
      <c r="D20" s="319">
        <f>-F18</f>
        <v>-1</v>
      </c>
      <c r="E20" s="319">
        <f>-F19</f>
        <v>0</v>
      </c>
      <c r="F20" s="318"/>
      <c r="G20" s="319">
        <f t="shared" si="1"/>
        <v>0</v>
      </c>
      <c r="H20" s="319">
        <f t="shared" si="2"/>
        <v>0</v>
      </c>
      <c r="I20" s="319">
        <f t="shared" si="3"/>
        <v>0</v>
      </c>
      <c r="J20" s="319">
        <f t="shared" si="4"/>
        <v>0</v>
      </c>
      <c r="K20" s="319">
        <f t="shared" si="5"/>
        <v>0</v>
      </c>
      <c r="L20" s="320">
        <f t="shared" si="6"/>
        <v>0</v>
      </c>
      <c r="M20" s="321">
        <f t="shared" si="7"/>
        <v>-2</v>
      </c>
      <c r="N20" s="322">
        <f t="shared" si="8"/>
        <v>1</v>
      </c>
      <c r="O20" s="321"/>
      <c r="P20" s="322">
        <f t="shared" si="9"/>
        <v>6.6666666666666666E-2</v>
      </c>
      <c r="Q20" s="292"/>
      <c r="R20" s="316"/>
      <c r="S20" s="292"/>
      <c r="T20" s="292"/>
    </row>
    <row r="21" spans="1:20">
      <c r="A21" s="309">
        <v>5</v>
      </c>
      <c r="B21" s="310" t="str">
        <f>IF(J12="","",J12)</f>
        <v>E</v>
      </c>
      <c r="C21" s="317">
        <f>-G17</f>
        <v>-1</v>
      </c>
      <c r="D21" s="319">
        <f>-G18</f>
        <v>-1</v>
      </c>
      <c r="E21" s="319">
        <f>-G19</f>
        <v>0</v>
      </c>
      <c r="F21" s="319">
        <f>-G20</f>
        <v>0</v>
      </c>
      <c r="G21" s="318"/>
      <c r="H21" s="319">
        <f t="shared" si="2"/>
        <v>0</v>
      </c>
      <c r="I21" s="319">
        <f t="shared" si="3"/>
        <v>0</v>
      </c>
      <c r="J21" s="319">
        <f t="shared" si="4"/>
        <v>0</v>
      </c>
      <c r="K21" s="319">
        <f t="shared" si="5"/>
        <v>0</v>
      </c>
      <c r="L21" s="320">
        <f t="shared" si="6"/>
        <v>0</v>
      </c>
      <c r="M21" s="321">
        <f t="shared" si="7"/>
        <v>-2</v>
      </c>
      <c r="N21" s="322">
        <f t="shared" si="8"/>
        <v>1</v>
      </c>
      <c r="O21" s="321"/>
      <c r="P21" s="322">
        <f t="shared" si="9"/>
        <v>6.6666666666666666E-2</v>
      </c>
      <c r="Q21" s="292"/>
      <c r="R21" s="316"/>
      <c r="S21" s="292"/>
      <c r="T21" s="292"/>
    </row>
    <row r="22" spans="1:20">
      <c r="A22" s="309">
        <v>6</v>
      </c>
      <c r="B22" s="310" t="str">
        <f>IF(L12="","",L12)</f>
        <v/>
      </c>
      <c r="C22" s="317">
        <f>-H17</f>
        <v>0</v>
      </c>
      <c r="D22" s="319">
        <f>-H18</f>
        <v>0</v>
      </c>
      <c r="E22" s="319">
        <f>-H19</f>
        <v>0</v>
      </c>
      <c r="F22" s="319">
        <f>-H20</f>
        <v>0</v>
      </c>
      <c r="G22" s="319">
        <f>-H21</f>
        <v>0</v>
      </c>
      <c r="H22" s="318"/>
      <c r="I22" s="319">
        <f t="shared" si="3"/>
        <v>0</v>
      </c>
      <c r="J22" s="319">
        <f t="shared" si="4"/>
        <v>0</v>
      </c>
      <c r="K22" s="319">
        <f t="shared" si="5"/>
        <v>0</v>
      </c>
      <c r="L22" s="320">
        <f t="shared" si="6"/>
        <v>0</v>
      </c>
      <c r="M22" s="321" t="str">
        <f t="shared" si="7"/>
        <v/>
      </c>
      <c r="N22" s="322" t="str">
        <f>IF(B22="","",M22+ABS(MIN($M$17:$M$26))+1)</f>
        <v/>
      </c>
      <c r="O22" s="321"/>
      <c r="P22" s="322" t="str">
        <f t="shared" si="9"/>
        <v/>
      </c>
      <c r="Q22" s="292"/>
      <c r="R22" s="316"/>
      <c r="S22" s="292"/>
      <c r="T22" s="292"/>
    </row>
    <row r="23" spans="1:20">
      <c r="A23" s="309">
        <v>7</v>
      </c>
      <c r="B23" s="310" t="str">
        <f>IF(N12="","",N12)</f>
        <v/>
      </c>
      <c r="C23" s="317">
        <f>-I17</f>
        <v>0</v>
      </c>
      <c r="D23" s="319">
        <f>-I18</f>
        <v>0</v>
      </c>
      <c r="E23" s="319">
        <f>-I19</f>
        <v>0</v>
      </c>
      <c r="F23" s="319">
        <f>-I20</f>
        <v>0</v>
      </c>
      <c r="G23" s="319">
        <f>-I21</f>
        <v>0</v>
      </c>
      <c r="H23" s="319">
        <f>-I22</f>
        <v>0</v>
      </c>
      <c r="I23" s="318"/>
      <c r="J23" s="319">
        <f t="shared" si="4"/>
        <v>0</v>
      </c>
      <c r="K23" s="319">
        <f t="shared" si="5"/>
        <v>0</v>
      </c>
      <c r="L23" s="320">
        <f t="shared" si="6"/>
        <v>0</v>
      </c>
      <c r="M23" s="321" t="str">
        <f t="shared" si="7"/>
        <v/>
      </c>
      <c r="N23" s="322" t="str">
        <f t="shared" si="8"/>
        <v/>
      </c>
      <c r="O23" s="321"/>
      <c r="P23" s="322" t="str">
        <f t="shared" si="9"/>
        <v/>
      </c>
      <c r="Q23" s="292"/>
      <c r="R23" s="316"/>
      <c r="S23" s="292"/>
      <c r="T23" s="292"/>
    </row>
    <row r="24" spans="1:20">
      <c r="A24" s="309">
        <v>8</v>
      </c>
      <c r="B24" s="310" t="str">
        <f>IF(P12="","",P12)</f>
        <v/>
      </c>
      <c r="C24" s="317">
        <f>-J17</f>
        <v>0</v>
      </c>
      <c r="D24" s="319">
        <f>-J18</f>
        <v>0</v>
      </c>
      <c r="E24" s="319">
        <f>-J19</f>
        <v>0</v>
      </c>
      <c r="F24" s="319">
        <f>-J20</f>
        <v>0</v>
      </c>
      <c r="G24" s="319">
        <f>-J21</f>
        <v>0</v>
      </c>
      <c r="H24" s="319">
        <f>-J22</f>
        <v>0</v>
      </c>
      <c r="I24" s="319">
        <f>-J23</f>
        <v>0</v>
      </c>
      <c r="J24" s="318"/>
      <c r="K24" s="319">
        <f t="shared" si="5"/>
        <v>0</v>
      </c>
      <c r="L24" s="320">
        <f t="shared" si="6"/>
        <v>0</v>
      </c>
      <c r="M24" s="321" t="str">
        <f t="shared" si="7"/>
        <v/>
      </c>
      <c r="N24" s="322" t="str">
        <f t="shared" si="8"/>
        <v/>
      </c>
      <c r="O24" s="321"/>
      <c r="P24" s="322" t="str">
        <f t="shared" si="9"/>
        <v/>
      </c>
      <c r="Q24" s="292"/>
      <c r="R24" s="316"/>
      <c r="S24" s="292"/>
      <c r="T24" s="292"/>
    </row>
    <row r="25" spans="1:20">
      <c r="A25" s="309">
        <v>9</v>
      </c>
      <c r="B25" s="310" t="str">
        <f>IF(R12="","",R12)</f>
        <v/>
      </c>
      <c r="C25" s="317">
        <f>-K17</f>
        <v>0</v>
      </c>
      <c r="D25" s="319">
        <f>-K18</f>
        <v>0</v>
      </c>
      <c r="E25" s="319">
        <f>-K19</f>
        <v>0</v>
      </c>
      <c r="F25" s="319">
        <f>-K20</f>
        <v>0</v>
      </c>
      <c r="G25" s="319">
        <f>-K21</f>
        <v>0</v>
      </c>
      <c r="H25" s="319">
        <f>-K22</f>
        <v>0</v>
      </c>
      <c r="I25" s="319">
        <f>-K23</f>
        <v>0</v>
      </c>
      <c r="J25" s="319">
        <f>-K24</f>
        <v>0</v>
      </c>
      <c r="K25" s="318"/>
      <c r="L25" s="320">
        <f t="shared" si="6"/>
        <v>0</v>
      </c>
      <c r="M25" s="321" t="str">
        <f t="shared" si="7"/>
        <v/>
      </c>
      <c r="N25" s="322" t="str">
        <f t="shared" si="8"/>
        <v/>
      </c>
      <c r="O25" s="321"/>
      <c r="P25" s="322" t="str">
        <f t="shared" si="9"/>
        <v/>
      </c>
      <c r="Q25" s="292"/>
      <c r="R25" s="316"/>
      <c r="S25" s="292"/>
      <c r="T25" s="292"/>
    </row>
    <row r="26" spans="1:20" ht="15.75" thickBot="1">
      <c r="A26" s="323">
        <v>10</v>
      </c>
      <c r="B26" s="324" t="str">
        <f>IF(T12="","",T12)</f>
        <v/>
      </c>
      <c r="C26" s="325">
        <f>-L17</f>
        <v>0</v>
      </c>
      <c r="D26" s="326">
        <f>-L18</f>
        <v>0</v>
      </c>
      <c r="E26" s="326">
        <f>-L19</f>
        <v>0</v>
      </c>
      <c r="F26" s="326">
        <f>-L20</f>
        <v>0</v>
      </c>
      <c r="G26" s="326">
        <f>-L21</f>
        <v>0</v>
      </c>
      <c r="H26" s="326">
        <f>-L22</f>
        <v>0</v>
      </c>
      <c r="I26" s="326">
        <f>-L23</f>
        <v>0</v>
      </c>
      <c r="J26" s="326">
        <f>-L24</f>
        <v>0</v>
      </c>
      <c r="K26" s="326">
        <f>-L25</f>
        <v>0</v>
      </c>
      <c r="L26" s="327"/>
      <c r="M26" s="328" t="str">
        <f t="shared" si="7"/>
        <v/>
      </c>
      <c r="N26" s="329" t="str">
        <f t="shared" si="8"/>
        <v/>
      </c>
      <c r="O26" s="328"/>
      <c r="P26" s="329" t="str">
        <f t="shared" si="9"/>
        <v/>
      </c>
      <c r="Q26" s="292"/>
      <c r="R26" s="316"/>
      <c r="S26" s="292"/>
      <c r="T26" s="316"/>
    </row>
    <row r="27" spans="1:20">
      <c r="A27" s="292"/>
      <c r="B27" s="292"/>
      <c r="C27" s="292"/>
      <c r="D27" s="292"/>
      <c r="E27" s="292"/>
      <c r="F27" s="292"/>
      <c r="G27" s="292"/>
      <c r="H27" s="292"/>
      <c r="I27" s="292"/>
      <c r="J27" s="292"/>
      <c r="K27" s="292"/>
      <c r="L27" s="292"/>
      <c r="M27" s="292"/>
      <c r="N27" s="292"/>
      <c r="O27" s="292"/>
      <c r="P27" s="292"/>
      <c r="Q27" s="292"/>
      <c r="R27" s="292"/>
      <c r="S27" s="292"/>
      <c r="T27" s="292"/>
    </row>
    <row r="28" spans="1:20">
      <c r="A28" s="292"/>
      <c r="B28" s="292"/>
      <c r="C28" s="292"/>
      <c r="D28" s="292"/>
      <c r="E28" s="292"/>
      <c r="F28" s="292"/>
      <c r="G28" s="292"/>
      <c r="H28" s="292"/>
      <c r="I28" s="292"/>
      <c r="J28" s="292"/>
      <c r="K28" s="292"/>
      <c r="L28" s="292"/>
      <c r="M28" s="292"/>
      <c r="N28" s="292"/>
      <c r="O28" s="292"/>
      <c r="P28" s="316"/>
      <c r="Q28" s="316"/>
      <c r="R28" s="292"/>
      <c r="S28" s="292"/>
      <c r="T28" s="292"/>
    </row>
    <row r="29" spans="1:20" ht="15.75" thickBot="1">
      <c r="A29" s="296" t="s">
        <v>412</v>
      </c>
      <c r="B29" s="292"/>
      <c r="C29" s="292"/>
      <c r="D29" s="292"/>
      <c r="E29" s="292"/>
      <c r="F29" s="292"/>
      <c r="G29" s="292"/>
      <c r="H29" s="292"/>
      <c r="I29" s="292"/>
      <c r="J29" s="292"/>
      <c r="K29" s="292"/>
      <c r="L29" s="292"/>
      <c r="M29" s="292"/>
      <c r="N29" s="292"/>
      <c r="O29" s="292"/>
      <c r="P29" s="292"/>
      <c r="Q29" s="292"/>
      <c r="R29" s="292"/>
      <c r="S29" s="292"/>
      <c r="T29" s="292"/>
    </row>
    <row r="30" spans="1:20" ht="53.25" thickBot="1">
      <c r="A30" s="400" t="s">
        <v>384</v>
      </c>
      <c r="B30" s="402" t="s">
        <v>413</v>
      </c>
      <c r="C30" s="330" t="s">
        <v>414</v>
      </c>
      <c r="D30" s="331" t="s">
        <v>415</v>
      </c>
      <c r="E30" s="331" t="s">
        <v>416</v>
      </c>
      <c r="F30" s="331" t="s">
        <v>417</v>
      </c>
      <c r="G30" s="331" t="s">
        <v>418</v>
      </c>
      <c r="H30" s="331" t="s">
        <v>419</v>
      </c>
      <c r="I30" s="331" t="s">
        <v>420</v>
      </c>
      <c r="J30" s="331" t="s">
        <v>421</v>
      </c>
      <c r="K30" s="331" t="s">
        <v>422</v>
      </c>
      <c r="L30" s="331" t="s">
        <v>423</v>
      </c>
      <c r="M30" s="331" t="s">
        <v>424</v>
      </c>
      <c r="N30" s="331" t="s">
        <v>425</v>
      </c>
      <c r="O30" s="331" t="s">
        <v>426</v>
      </c>
      <c r="P30" s="331" t="s">
        <v>427</v>
      </c>
      <c r="Q30" s="331" t="s">
        <v>428</v>
      </c>
      <c r="R30" s="404" t="s">
        <v>429</v>
      </c>
      <c r="S30" s="292"/>
      <c r="T30" s="292"/>
    </row>
    <row r="31" spans="1:20" ht="38.25" thickBot="1">
      <c r="A31" s="401"/>
      <c r="B31" s="403"/>
      <c r="C31" s="332" t="s">
        <v>430</v>
      </c>
      <c r="D31" s="333" t="s">
        <v>431</v>
      </c>
      <c r="E31" s="333" t="s">
        <v>432</v>
      </c>
      <c r="F31" s="333" t="s">
        <v>433</v>
      </c>
      <c r="G31" s="333" t="s">
        <v>434</v>
      </c>
      <c r="H31" s="333" t="s">
        <v>435</v>
      </c>
      <c r="I31" s="333" t="s">
        <v>436</v>
      </c>
      <c r="J31" s="333" t="s">
        <v>437</v>
      </c>
      <c r="K31" s="333" t="s">
        <v>438</v>
      </c>
      <c r="L31" s="333" t="s">
        <v>439</v>
      </c>
      <c r="M31" s="333" t="s">
        <v>440</v>
      </c>
      <c r="N31" s="333" t="s">
        <v>441</v>
      </c>
      <c r="O31" s="333" t="s">
        <v>442</v>
      </c>
      <c r="P31" s="333" t="s">
        <v>443</v>
      </c>
      <c r="Q31" s="334" t="s">
        <v>444</v>
      </c>
      <c r="R31" s="405"/>
      <c r="S31" s="292"/>
      <c r="T31" s="292"/>
    </row>
    <row r="32" spans="1:20" ht="15" customHeight="1">
      <c r="A32" s="406" t="s">
        <v>453</v>
      </c>
      <c r="B32" s="309" t="str">
        <f>B17</f>
        <v>Mass</v>
      </c>
      <c r="C32" s="335">
        <v>3</v>
      </c>
      <c r="D32" s="336">
        <v>3</v>
      </c>
      <c r="E32" s="336">
        <v>3</v>
      </c>
      <c r="F32" s="336"/>
      <c r="G32" s="336"/>
      <c r="H32" s="336"/>
      <c r="I32" s="336"/>
      <c r="J32" s="336"/>
      <c r="K32" s="336"/>
      <c r="L32" s="336"/>
      <c r="M32" s="336"/>
      <c r="N32" s="336"/>
      <c r="O32" s="336"/>
      <c r="P32" s="336"/>
      <c r="Q32" s="337"/>
      <c r="R32" s="315">
        <f>IF(B17="",0,P17)</f>
        <v>0.46666666666666667</v>
      </c>
      <c r="S32" s="292"/>
      <c r="T32" s="292"/>
    </row>
    <row r="33" spans="1:28">
      <c r="A33" s="407"/>
      <c r="B33" s="309" t="str">
        <f t="shared" ref="B33:B41" si="10">B18</f>
        <v>Cost</v>
      </c>
      <c r="C33" s="338">
        <v>5</v>
      </c>
      <c r="D33" s="339">
        <v>7</v>
      </c>
      <c r="E33" s="339">
        <v>4</v>
      </c>
      <c r="F33" s="339"/>
      <c r="G33" s="339"/>
      <c r="H33" s="339"/>
      <c r="I33" s="339"/>
      <c r="J33" s="339"/>
      <c r="K33" s="339"/>
      <c r="L33" s="339"/>
      <c r="M33" s="339"/>
      <c r="N33" s="339"/>
      <c r="O33" s="339"/>
      <c r="P33" s="339"/>
      <c r="Q33" s="340"/>
      <c r="R33" s="322">
        <f t="shared" ref="R33:R41" si="11">IF(B18="",0,P18)</f>
        <v>0.33333333333333331</v>
      </c>
      <c r="S33" s="292"/>
      <c r="T33" s="292"/>
    </row>
    <row r="34" spans="1:28">
      <c r="A34" s="407"/>
      <c r="B34" s="309" t="str">
        <f t="shared" si="10"/>
        <v>Power</v>
      </c>
      <c r="C34" s="338">
        <v>8</v>
      </c>
      <c r="D34" s="339">
        <v>5</v>
      </c>
      <c r="E34" s="339">
        <v>2</v>
      </c>
      <c r="F34" s="339"/>
      <c r="G34" s="339"/>
      <c r="H34" s="339"/>
      <c r="I34" s="339"/>
      <c r="J34" s="339"/>
      <c r="K34" s="339"/>
      <c r="L34" s="339"/>
      <c r="M34" s="339"/>
      <c r="N34" s="339"/>
      <c r="O34" s="339"/>
      <c r="P34" s="339"/>
      <c r="Q34" s="340"/>
      <c r="R34" s="322">
        <f t="shared" si="11"/>
        <v>6.6666666666666666E-2</v>
      </c>
      <c r="S34" s="292"/>
      <c r="T34" s="292"/>
    </row>
    <row r="35" spans="1:28">
      <c r="A35" s="407"/>
      <c r="B35" s="309" t="str">
        <f t="shared" si="10"/>
        <v>Equilibrium temperature</v>
      </c>
      <c r="C35" s="338">
        <v>4</v>
      </c>
      <c r="D35" s="339">
        <v>3</v>
      </c>
      <c r="E35" s="339">
        <v>1</v>
      </c>
      <c r="F35" s="339"/>
      <c r="G35" s="339"/>
      <c r="H35" s="339"/>
      <c r="I35" s="339"/>
      <c r="J35" s="339"/>
      <c r="K35" s="339"/>
      <c r="L35" s="339"/>
      <c r="M35" s="339"/>
      <c r="N35" s="339"/>
      <c r="O35" s="339"/>
      <c r="P35" s="339"/>
      <c r="Q35" s="340"/>
      <c r="R35" s="322">
        <f t="shared" si="11"/>
        <v>6.6666666666666666E-2</v>
      </c>
      <c r="S35" s="292"/>
      <c r="T35" s="292"/>
    </row>
    <row r="36" spans="1:28">
      <c r="A36" s="407"/>
      <c r="B36" s="309" t="str">
        <f t="shared" si="10"/>
        <v>E</v>
      </c>
      <c r="C36" s="338"/>
      <c r="D36" s="339"/>
      <c r="E36" s="339"/>
      <c r="F36" s="339"/>
      <c r="G36" s="339"/>
      <c r="H36" s="339"/>
      <c r="I36" s="339"/>
      <c r="J36" s="339"/>
      <c r="K36" s="339"/>
      <c r="L36" s="339"/>
      <c r="M36" s="339"/>
      <c r="N36" s="339"/>
      <c r="O36" s="339"/>
      <c r="P36" s="339"/>
      <c r="Q36" s="340"/>
      <c r="R36" s="322">
        <f t="shared" si="11"/>
        <v>6.6666666666666666E-2</v>
      </c>
      <c r="S36" s="292"/>
      <c r="T36" s="292"/>
    </row>
    <row r="37" spans="1:28">
      <c r="A37" s="407"/>
      <c r="B37" s="309" t="str">
        <f t="shared" si="10"/>
        <v/>
      </c>
      <c r="C37" s="338"/>
      <c r="D37" s="339"/>
      <c r="E37" s="339"/>
      <c r="F37" s="339"/>
      <c r="G37" s="339"/>
      <c r="H37" s="339"/>
      <c r="I37" s="339"/>
      <c r="J37" s="339"/>
      <c r="K37" s="339"/>
      <c r="L37" s="339"/>
      <c r="M37" s="339"/>
      <c r="N37" s="339"/>
      <c r="O37" s="339"/>
      <c r="P37" s="339"/>
      <c r="Q37" s="340"/>
      <c r="R37" s="322">
        <f t="shared" si="11"/>
        <v>0</v>
      </c>
      <c r="S37" s="292"/>
      <c r="T37" s="292"/>
    </row>
    <row r="38" spans="1:28">
      <c r="A38" s="407"/>
      <c r="B38" s="309" t="str">
        <f t="shared" si="10"/>
        <v/>
      </c>
      <c r="C38" s="338"/>
      <c r="D38" s="339"/>
      <c r="E38" s="339"/>
      <c r="F38" s="342"/>
      <c r="G38" s="339"/>
      <c r="H38" s="339"/>
      <c r="I38" s="339"/>
      <c r="J38" s="339"/>
      <c r="K38" s="339"/>
      <c r="L38" s="339"/>
      <c r="M38" s="339"/>
      <c r="N38" s="339"/>
      <c r="O38" s="339"/>
      <c r="P38" s="339"/>
      <c r="Q38" s="340"/>
      <c r="R38" s="322">
        <f t="shared" si="11"/>
        <v>0</v>
      </c>
      <c r="S38" s="292"/>
      <c r="T38" s="292"/>
    </row>
    <row r="39" spans="1:28">
      <c r="A39" s="407"/>
      <c r="B39" s="309" t="str">
        <f t="shared" si="10"/>
        <v/>
      </c>
      <c r="C39" s="338"/>
      <c r="D39" s="339"/>
      <c r="E39" s="339"/>
      <c r="F39" s="339"/>
      <c r="G39" s="339"/>
      <c r="H39" s="339"/>
      <c r="I39" s="339"/>
      <c r="J39" s="339"/>
      <c r="K39" s="339"/>
      <c r="L39" s="339"/>
      <c r="M39" s="339"/>
      <c r="N39" s="339"/>
      <c r="O39" s="339"/>
      <c r="P39" s="339"/>
      <c r="Q39" s="340"/>
      <c r="R39" s="322">
        <f t="shared" si="11"/>
        <v>0</v>
      </c>
      <c r="S39" s="292"/>
      <c r="T39" s="292"/>
    </row>
    <row r="40" spans="1:28">
      <c r="A40" s="407"/>
      <c r="B40" s="309" t="str">
        <f t="shared" si="10"/>
        <v/>
      </c>
      <c r="C40" s="338"/>
      <c r="D40" s="339"/>
      <c r="E40" s="339"/>
      <c r="F40" s="339"/>
      <c r="G40" s="339"/>
      <c r="H40" s="339"/>
      <c r="I40" s="339"/>
      <c r="J40" s="339"/>
      <c r="K40" s="339"/>
      <c r="L40" s="339"/>
      <c r="M40" s="339"/>
      <c r="N40" s="339"/>
      <c r="O40" s="339"/>
      <c r="P40" s="339"/>
      <c r="Q40" s="340"/>
      <c r="R40" s="322">
        <f t="shared" si="11"/>
        <v>0</v>
      </c>
      <c r="S40" s="292"/>
      <c r="T40" s="292"/>
    </row>
    <row r="41" spans="1:28" ht="15.75" thickBot="1">
      <c r="A41" s="408"/>
      <c r="B41" s="309" t="str">
        <f t="shared" si="10"/>
        <v/>
      </c>
      <c r="C41" s="343"/>
      <c r="D41" s="344"/>
      <c r="E41" s="344"/>
      <c r="F41" s="344"/>
      <c r="G41" s="344"/>
      <c r="H41" s="344"/>
      <c r="I41" s="344"/>
      <c r="J41" s="344"/>
      <c r="K41" s="344"/>
      <c r="L41" s="344"/>
      <c r="M41" s="344"/>
      <c r="N41" s="344"/>
      <c r="O41" s="344"/>
      <c r="P41" s="344"/>
      <c r="Q41" s="345"/>
      <c r="R41" s="329">
        <f t="shared" si="11"/>
        <v>0</v>
      </c>
      <c r="S41" s="292"/>
      <c r="T41" s="292"/>
    </row>
    <row r="42" spans="1:28" ht="15.75" thickBot="1">
      <c r="A42" s="309"/>
      <c r="B42" s="346" t="s">
        <v>409</v>
      </c>
      <c r="C42" s="347">
        <f>C32*$R32+C33*$R33+C34*$R34+C35*$R35+C36*$R36+C37*$R37+C38*$R38+C39*$R39+C40*$R40+C41*$R41</f>
        <v>3.8666666666666663</v>
      </c>
      <c r="D42" s="348">
        <f t="shared" ref="D42:Q42" si="12">D32*$R32+D33*$R33+D34*$R34+D35*$R35+D36*$R36+D37*$R37+D38*$R38+D39*$R39+D40*$R40+D41*$R41</f>
        <v>4.2666666666666666</v>
      </c>
      <c r="E42" s="348">
        <f t="shared" si="12"/>
        <v>2.9333333333333336</v>
      </c>
      <c r="F42" s="348">
        <f t="shared" si="12"/>
        <v>0</v>
      </c>
      <c r="G42" s="348">
        <f t="shared" si="12"/>
        <v>0</v>
      </c>
      <c r="H42" s="348">
        <f t="shared" si="12"/>
        <v>0</v>
      </c>
      <c r="I42" s="348">
        <f t="shared" si="12"/>
        <v>0</v>
      </c>
      <c r="J42" s="348">
        <f t="shared" si="12"/>
        <v>0</v>
      </c>
      <c r="K42" s="348">
        <f t="shared" si="12"/>
        <v>0</v>
      </c>
      <c r="L42" s="348">
        <f t="shared" si="12"/>
        <v>0</v>
      </c>
      <c r="M42" s="348">
        <f t="shared" si="12"/>
        <v>0</v>
      </c>
      <c r="N42" s="348">
        <f t="shared" si="12"/>
        <v>0</v>
      </c>
      <c r="O42" s="348">
        <f t="shared" si="12"/>
        <v>0</v>
      </c>
      <c r="P42" s="348">
        <f t="shared" si="12"/>
        <v>0</v>
      </c>
      <c r="Q42" s="349">
        <f t="shared" si="12"/>
        <v>0</v>
      </c>
      <c r="R42" s="350"/>
      <c r="S42" s="292"/>
      <c r="T42" s="292"/>
    </row>
    <row r="43" spans="1:28" ht="15.75" thickBot="1">
      <c r="A43" s="323"/>
      <c r="B43" s="351" t="s">
        <v>445</v>
      </c>
      <c r="C43" s="352">
        <f>RANK(C42,$C42:$Q42)</f>
        <v>2</v>
      </c>
      <c r="D43" s="353">
        <f t="shared" ref="D43:Q43" si="13">RANK(D42,$C42:$Q42)</f>
        <v>1</v>
      </c>
      <c r="E43" s="353">
        <f t="shared" si="13"/>
        <v>3</v>
      </c>
      <c r="F43" s="353">
        <f t="shared" si="13"/>
        <v>4</v>
      </c>
      <c r="G43" s="353">
        <f t="shared" si="13"/>
        <v>4</v>
      </c>
      <c r="H43" s="353">
        <f t="shared" si="13"/>
        <v>4</v>
      </c>
      <c r="I43" s="353">
        <f t="shared" si="13"/>
        <v>4</v>
      </c>
      <c r="J43" s="353">
        <f t="shared" si="13"/>
        <v>4</v>
      </c>
      <c r="K43" s="353">
        <f t="shared" si="13"/>
        <v>4</v>
      </c>
      <c r="L43" s="353">
        <f t="shared" si="13"/>
        <v>4</v>
      </c>
      <c r="M43" s="353">
        <f t="shared" si="13"/>
        <v>4</v>
      </c>
      <c r="N43" s="353">
        <f t="shared" si="13"/>
        <v>4</v>
      </c>
      <c r="O43" s="353">
        <f t="shared" si="13"/>
        <v>4</v>
      </c>
      <c r="P43" s="353">
        <f t="shared" si="13"/>
        <v>4</v>
      </c>
      <c r="Q43" s="354">
        <f t="shared" si="13"/>
        <v>4</v>
      </c>
      <c r="R43" s="355"/>
      <c r="S43" s="292"/>
      <c r="T43" s="292"/>
    </row>
    <row r="44" spans="1:28">
      <c r="A44" s="292"/>
      <c r="B44" s="292"/>
      <c r="C44" s="292"/>
      <c r="D44" s="292"/>
      <c r="E44" s="292"/>
      <c r="F44" s="292"/>
      <c r="G44" s="292"/>
      <c r="H44" s="292"/>
      <c r="I44" s="292"/>
      <c r="J44" s="292"/>
      <c r="K44" s="292"/>
      <c r="L44" s="292"/>
      <c r="M44" s="292"/>
      <c r="N44" s="292"/>
      <c r="O44" s="292"/>
      <c r="P44" s="292"/>
      <c r="Q44" s="292"/>
      <c r="R44" s="292"/>
      <c r="S44" s="292"/>
      <c r="T44" s="292"/>
    </row>
    <row r="45" spans="1:28" ht="15.75" thickBot="1">
      <c r="A45" s="292"/>
      <c r="B45" s="292"/>
      <c r="C45" s="292"/>
      <c r="D45" s="292"/>
      <c r="E45" s="292"/>
      <c r="F45" s="292"/>
      <c r="G45" s="292"/>
      <c r="H45" s="292"/>
      <c r="I45" s="292"/>
      <c r="J45" s="292"/>
      <c r="K45" s="292"/>
      <c r="L45" s="292"/>
      <c r="M45" s="292"/>
      <c r="N45" s="292"/>
      <c r="O45" s="292"/>
      <c r="P45" s="292"/>
      <c r="Q45" s="292"/>
      <c r="R45" s="292"/>
      <c r="S45" s="292"/>
      <c r="T45" s="292"/>
    </row>
    <row r="46" spans="1:28">
      <c r="A46" s="292"/>
      <c r="B46" s="292"/>
      <c r="C46" s="292"/>
      <c r="D46" s="292"/>
      <c r="E46" s="292"/>
      <c r="F46" s="292"/>
      <c r="G46" s="292"/>
      <c r="H46" s="292"/>
      <c r="I46" s="292"/>
      <c r="J46" s="292"/>
      <c r="K46" s="292"/>
      <c r="L46" s="292"/>
      <c r="M46" s="292"/>
      <c r="N46" s="292"/>
      <c r="O46" s="292"/>
      <c r="P46" s="292"/>
      <c r="Q46" s="292"/>
      <c r="R46" s="292"/>
      <c r="S46" s="292"/>
      <c r="T46" s="356" t="s">
        <v>454</v>
      </c>
      <c r="U46" s="357"/>
      <c r="V46" s="357"/>
      <c r="W46" s="357"/>
      <c r="X46" s="357"/>
      <c r="Y46" s="357"/>
      <c r="Z46" s="357"/>
      <c r="AA46" s="357"/>
      <c r="AB46" s="358"/>
    </row>
    <row r="47" spans="1:28">
      <c r="A47" s="292"/>
      <c r="B47" s="292"/>
      <c r="C47" s="292"/>
      <c r="D47" s="292"/>
      <c r="E47" s="292"/>
      <c r="F47" s="292"/>
      <c r="G47" s="292"/>
      <c r="H47" s="292"/>
      <c r="I47" s="292"/>
      <c r="J47" s="292"/>
      <c r="K47" s="292"/>
      <c r="L47" s="292"/>
      <c r="M47" s="292"/>
      <c r="N47" s="292"/>
      <c r="O47" s="292"/>
      <c r="P47" s="292"/>
      <c r="Q47" s="292"/>
      <c r="R47" s="292"/>
      <c r="S47" s="292"/>
      <c r="T47" s="359" t="s">
        <v>455</v>
      </c>
      <c r="U47" s="360"/>
      <c r="V47" s="360"/>
      <c r="W47" s="360"/>
      <c r="X47" s="360"/>
      <c r="Y47" s="360"/>
      <c r="Z47" s="360"/>
      <c r="AA47" s="360"/>
      <c r="AB47" s="361"/>
    </row>
    <row r="48" spans="1:28">
      <c r="A48" s="292"/>
      <c r="B48" s="292"/>
      <c r="C48" s="292"/>
      <c r="D48" s="292"/>
      <c r="E48" s="292"/>
      <c r="F48" s="292"/>
      <c r="G48" s="292"/>
      <c r="H48" s="292"/>
      <c r="I48" s="292"/>
      <c r="J48" s="292"/>
      <c r="K48" s="292"/>
      <c r="L48" s="292"/>
      <c r="M48" s="292"/>
      <c r="N48" s="292"/>
      <c r="O48" s="292"/>
      <c r="P48" s="292"/>
      <c r="Q48" s="292"/>
      <c r="R48" s="292"/>
      <c r="S48" s="292"/>
      <c r="T48" s="359" t="s">
        <v>456</v>
      </c>
      <c r="U48" s="360"/>
      <c r="V48" s="360"/>
      <c r="W48" s="360"/>
      <c r="X48" s="360"/>
      <c r="Y48" s="360"/>
      <c r="Z48" s="360"/>
      <c r="AA48" s="360"/>
      <c r="AB48" s="361"/>
    </row>
    <row r="49" spans="1:28">
      <c r="A49" s="292"/>
      <c r="B49" s="292"/>
      <c r="C49" s="292"/>
      <c r="D49" s="292"/>
      <c r="E49" s="292"/>
      <c r="F49" s="292"/>
      <c r="G49" s="292"/>
      <c r="H49" s="292"/>
      <c r="I49" s="292"/>
      <c r="J49" s="292"/>
      <c r="K49" s="292"/>
      <c r="L49" s="292"/>
      <c r="M49" s="292"/>
      <c r="N49" s="292"/>
      <c r="O49" s="292"/>
      <c r="P49" s="292"/>
      <c r="Q49" s="292"/>
      <c r="R49" s="292"/>
      <c r="S49" s="292"/>
      <c r="T49" s="359" t="s">
        <v>457</v>
      </c>
      <c r="U49" s="360"/>
      <c r="V49" s="360"/>
      <c r="W49" s="360"/>
      <c r="X49" s="360"/>
      <c r="Y49" s="360"/>
      <c r="Z49" s="360"/>
      <c r="AA49" s="360"/>
      <c r="AB49" s="361"/>
    </row>
    <row r="50" spans="1:28">
      <c r="A50" s="292"/>
      <c r="B50" s="292"/>
      <c r="C50" s="292"/>
      <c r="D50" s="292"/>
      <c r="E50" s="292"/>
      <c r="F50" s="292"/>
      <c r="G50" s="292"/>
      <c r="H50" s="292"/>
      <c r="I50" s="292"/>
      <c r="J50" s="292"/>
      <c r="K50" s="292"/>
      <c r="L50" s="292"/>
      <c r="M50" s="292"/>
      <c r="N50" s="292"/>
      <c r="O50" s="292"/>
      <c r="P50" s="292"/>
      <c r="Q50" s="292"/>
      <c r="R50" s="292"/>
      <c r="S50" s="292"/>
      <c r="T50" s="359" t="s">
        <v>458</v>
      </c>
      <c r="U50" s="360"/>
      <c r="V50" s="360"/>
      <c r="W50" s="360"/>
      <c r="X50" s="360"/>
      <c r="Y50" s="360"/>
      <c r="Z50" s="360"/>
      <c r="AA50" s="360"/>
      <c r="AB50" s="361"/>
    </row>
    <row r="51" spans="1:28">
      <c r="A51" s="292"/>
      <c r="B51" s="292"/>
      <c r="C51" s="292"/>
      <c r="D51" s="292"/>
      <c r="E51" s="292"/>
      <c r="F51" s="292"/>
      <c r="G51" s="292"/>
      <c r="H51" s="292"/>
      <c r="I51" s="292"/>
      <c r="J51" s="292"/>
      <c r="K51" s="292"/>
      <c r="L51" s="292"/>
      <c r="M51" s="292"/>
      <c r="N51" s="292"/>
      <c r="O51" s="292"/>
      <c r="P51" s="292"/>
      <c r="Q51" s="292"/>
      <c r="R51" s="292"/>
      <c r="S51" s="292"/>
      <c r="T51" s="359" t="s">
        <v>459</v>
      </c>
      <c r="U51" s="360"/>
      <c r="V51" s="360"/>
      <c r="W51" s="360"/>
      <c r="X51" s="360"/>
      <c r="Y51" s="360"/>
      <c r="Z51" s="360"/>
      <c r="AA51" s="360"/>
      <c r="AB51" s="361"/>
    </row>
    <row r="52" spans="1:28" ht="15.75" thickBot="1">
      <c r="A52" s="292"/>
      <c r="B52" s="292"/>
      <c r="C52" s="292"/>
      <c r="D52" s="292"/>
      <c r="E52" s="292"/>
      <c r="F52" s="292"/>
      <c r="G52" s="292"/>
      <c r="H52" s="292"/>
      <c r="I52" s="292"/>
      <c r="J52" s="292"/>
      <c r="K52" s="292"/>
      <c r="L52" s="292"/>
      <c r="M52" s="292"/>
      <c r="N52" s="292"/>
      <c r="O52" s="292"/>
      <c r="P52" s="292"/>
      <c r="Q52" s="292"/>
      <c r="R52" s="292"/>
      <c r="S52" s="292"/>
      <c r="T52" s="362" t="s">
        <v>460</v>
      </c>
      <c r="U52" s="363"/>
      <c r="V52" s="363"/>
      <c r="W52" s="363"/>
      <c r="X52" s="363"/>
      <c r="Y52" s="363"/>
      <c r="Z52" s="363"/>
      <c r="AA52" s="363"/>
      <c r="AB52" s="364"/>
    </row>
    <row r="53" spans="1:28">
      <c r="A53" s="292"/>
      <c r="B53" s="292"/>
      <c r="C53" s="292"/>
      <c r="D53" s="292"/>
      <c r="E53" s="292"/>
      <c r="F53" s="292"/>
      <c r="G53" s="292"/>
      <c r="H53" s="292"/>
      <c r="I53" s="292"/>
      <c r="J53" s="292"/>
      <c r="K53" s="292"/>
      <c r="L53" s="292"/>
      <c r="M53" s="292"/>
      <c r="N53" s="292"/>
      <c r="O53" s="292"/>
      <c r="P53" s="292"/>
      <c r="Q53" s="292"/>
      <c r="R53" s="292"/>
      <c r="S53" s="292"/>
      <c r="T53" s="294"/>
    </row>
    <row r="54" spans="1:28">
      <c r="A54" s="292"/>
      <c r="B54" s="292"/>
      <c r="C54" s="292"/>
      <c r="D54" s="292"/>
      <c r="E54" s="292"/>
      <c r="F54" s="292"/>
      <c r="G54" s="292"/>
      <c r="H54" s="292"/>
      <c r="I54" s="292"/>
      <c r="J54" s="292"/>
      <c r="K54" s="292"/>
      <c r="L54" s="292"/>
      <c r="M54" s="292"/>
      <c r="N54" s="292"/>
      <c r="O54" s="292"/>
      <c r="P54" s="292"/>
      <c r="Q54" s="292"/>
      <c r="R54" s="292"/>
      <c r="S54" s="292"/>
      <c r="T54" s="292"/>
    </row>
    <row r="55" spans="1:28">
      <c r="A55" s="292"/>
      <c r="B55" s="292"/>
      <c r="C55" s="292"/>
      <c r="D55" s="292"/>
      <c r="E55" s="292"/>
      <c r="F55" s="292"/>
      <c r="G55" s="292"/>
      <c r="H55" s="292"/>
      <c r="I55" s="292"/>
      <c r="J55" s="292"/>
      <c r="K55" s="292"/>
      <c r="L55" s="292"/>
      <c r="M55" s="292"/>
      <c r="N55" s="292"/>
      <c r="O55" s="292"/>
      <c r="P55" s="292"/>
      <c r="Q55" s="292"/>
      <c r="R55" s="292"/>
      <c r="S55" s="292"/>
      <c r="T55" s="292"/>
    </row>
    <row r="56" spans="1:28">
      <c r="A56" s="292"/>
      <c r="B56" s="292"/>
      <c r="C56" s="292"/>
      <c r="D56" s="292"/>
      <c r="E56" s="292"/>
      <c r="F56" s="292"/>
      <c r="G56" s="292"/>
      <c r="H56" s="292"/>
      <c r="I56" s="292"/>
      <c r="J56" s="292"/>
      <c r="K56" s="292"/>
      <c r="L56" s="292"/>
      <c r="M56" s="292"/>
      <c r="N56" s="292"/>
      <c r="O56" s="292"/>
      <c r="P56" s="292"/>
      <c r="Q56" s="292"/>
      <c r="R56" s="292"/>
      <c r="S56" s="292"/>
      <c r="T56" s="292"/>
    </row>
    <row r="57" spans="1:28">
      <c r="A57" s="292"/>
      <c r="B57" s="292"/>
      <c r="C57" s="292"/>
      <c r="D57" s="292"/>
      <c r="E57" s="292"/>
      <c r="F57" s="292"/>
      <c r="G57" s="292"/>
      <c r="H57" s="292"/>
      <c r="I57" s="292"/>
      <c r="J57" s="292"/>
      <c r="K57" s="292"/>
      <c r="L57" s="292"/>
      <c r="M57" s="292"/>
      <c r="N57" s="292"/>
      <c r="O57" s="292"/>
      <c r="P57" s="292"/>
      <c r="Q57" s="292"/>
      <c r="R57" s="292"/>
      <c r="S57" s="292"/>
      <c r="T57" s="292"/>
    </row>
    <row r="58" spans="1:28">
      <c r="A58" s="292"/>
      <c r="B58" s="292"/>
      <c r="C58" s="292"/>
      <c r="D58" s="292"/>
      <c r="E58" s="292"/>
      <c r="F58" s="292"/>
      <c r="G58" s="292"/>
      <c r="H58" s="292"/>
      <c r="I58" s="292"/>
      <c r="J58" s="292"/>
      <c r="K58" s="292"/>
      <c r="L58" s="292"/>
      <c r="M58" s="292"/>
      <c r="N58" s="292"/>
      <c r="O58" s="292"/>
      <c r="P58" s="292"/>
      <c r="Q58" s="292"/>
      <c r="R58" s="292"/>
      <c r="S58" s="292"/>
      <c r="T58" s="292"/>
    </row>
    <row r="59" spans="1:28">
      <c r="A59" s="292"/>
      <c r="B59" s="292"/>
      <c r="C59" s="292"/>
      <c r="D59" s="292"/>
      <c r="E59" s="292"/>
      <c r="F59" s="292"/>
      <c r="G59" s="292"/>
      <c r="H59" s="292"/>
      <c r="I59" s="292"/>
      <c r="J59" s="292"/>
      <c r="K59" s="292"/>
      <c r="L59" s="292"/>
      <c r="M59" s="292"/>
      <c r="N59" s="292"/>
      <c r="O59" s="292"/>
      <c r="P59" s="292"/>
      <c r="Q59" s="292"/>
      <c r="R59" s="292"/>
      <c r="S59" s="292"/>
      <c r="T59" s="292"/>
    </row>
    <row r="60" spans="1:28">
      <c r="A60" s="292"/>
      <c r="B60" s="292"/>
      <c r="C60" s="292"/>
      <c r="D60" s="292"/>
      <c r="E60" s="292"/>
      <c r="F60" s="292"/>
      <c r="G60" s="292"/>
      <c r="H60" s="292"/>
      <c r="I60" s="292"/>
      <c r="J60" s="292"/>
      <c r="K60" s="292"/>
      <c r="L60" s="292"/>
      <c r="M60" s="292"/>
      <c r="N60" s="292"/>
      <c r="O60" s="292"/>
      <c r="P60" s="292"/>
      <c r="Q60" s="292"/>
      <c r="R60" s="292"/>
      <c r="S60" s="292"/>
      <c r="T60" s="292"/>
    </row>
    <row r="61" spans="1:28">
      <c r="A61" s="292"/>
      <c r="B61" s="292"/>
      <c r="C61" s="292"/>
      <c r="D61" s="292"/>
      <c r="E61" s="292"/>
      <c r="F61" s="292"/>
      <c r="G61" s="292"/>
      <c r="H61" s="292"/>
      <c r="I61" s="292"/>
      <c r="J61" s="292"/>
      <c r="K61" s="292"/>
      <c r="L61" s="292"/>
      <c r="M61" s="292"/>
      <c r="N61" s="292"/>
      <c r="O61" s="292"/>
      <c r="P61" s="292"/>
      <c r="Q61" s="292"/>
      <c r="R61" s="292"/>
      <c r="S61" s="292"/>
      <c r="T61" s="292"/>
    </row>
    <row r="62" spans="1:28">
      <c r="A62" s="292"/>
      <c r="B62" s="292"/>
      <c r="C62" s="292"/>
      <c r="D62" s="292"/>
      <c r="E62" s="292"/>
      <c r="F62" s="292"/>
      <c r="G62" s="292"/>
      <c r="H62" s="292"/>
      <c r="I62" s="292"/>
      <c r="J62" s="292"/>
      <c r="K62" s="292"/>
      <c r="L62" s="292"/>
      <c r="M62" s="292"/>
      <c r="N62" s="292"/>
      <c r="O62" s="292"/>
      <c r="P62" s="292"/>
      <c r="Q62" s="292"/>
      <c r="R62" s="292"/>
      <c r="S62" s="292"/>
      <c r="T62" s="292"/>
    </row>
    <row r="63" spans="1:28">
      <c r="A63" s="292"/>
      <c r="B63" s="292"/>
      <c r="C63" s="292"/>
      <c r="D63" s="292"/>
      <c r="E63" s="292"/>
      <c r="F63" s="292"/>
      <c r="G63" s="292"/>
      <c r="H63" s="292"/>
      <c r="I63" s="292"/>
      <c r="J63" s="292"/>
      <c r="K63" s="292"/>
      <c r="L63" s="292"/>
      <c r="M63" s="292"/>
      <c r="N63" s="292"/>
      <c r="O63" s="292"/>
      <c r="P63" s="292"/>
      <c r="Q63" s="292"/>
      <c r="R63" s="292"/>
      <c r="S63" s="292"/>
      <c r="T63" s="292"/>
    </row>
    <row r="64" spans="1:28">
      <c r="A64" s="292"/>
      <c r="B64" s="292"/>
      <c r="C64" s="292"/>
      <c r="D64" s="292"/>
      <c r="E64" s="292"/>
      <c r="F64" s="292"/>
      <c r="G64" s="292"/>
      <c r="H64" s="292"/>
      <c r="I64" s="292"/>
      <c r="J64" s="292"/>
      <c r="K64" s="292"/>
      <c r="L64" s="292"/>
      <c r="M64" s="292"/>
      <c r="N64" s="292"/>
      <c r="O64" s="292"/>
      <c r="P64" s="292"/>
      <c r="Q64" s="292"/>
      <c r="R64" s="292"/>
      <c r="S64" s="292"/>
      <c r="T64" s="292"/>
    </row>
    <row r="65" spans="1:20">
      <c r="A65" s="292"/>
      <c r="B65" s="292"/>
      <c r="C65" s="292"/>
      <c r="D65" s="292"/>
      <c r="E65" s="292"/>
      <c r="F65" s="292"/>
      <c r="G65" s="292"/>
      <c r="H65" s="292"/>
      <c r="I65" s="292"/>
      <c r="J65" s="292"/>
      <c r="K65" s="292"/>
      <c r="L65" s="292"/>
      <c r="M65" s="292"/>
      <c r="N65" s="292"/>
      <c r="O65" s="292"/>
      <c r="P65" s="292"/>
      <c r="Q65" s="292"/>
      <c r="R65" s="292"/>
      <c r="S65" s="292"/>
      <c r="T65" s="292"/>
    </row>
    <row r="66" spans="1:20">
      <c r="A66" s="292"/>
      <c r="B66" s="292"/>
      <c r="C66" s="292"/>
      <c r="D66" s="292"/>
      <c r="E66" s="292"/>
      <c r="F66" s="292"/>
      <c r="G66" s="292"/>
      <c r="H66" s="292"/>
      <c r="I66" s="292"/>
      <c r="J66" s="292"/>
      <c r="K66" s="292"/>
      <c r="L66" s="292"/>
      <c r="M66" s="292"/>
      <c r="N66" s="292"/>
      <c r="O66" s="292"/>
      <c r="P66" s="292"/>
      <c r="Q66" s="292"/>
      <c r="R66" s="292"/>
      <c r="S66" s="292"/>
      <c r="T66" s="292"/>
    </row>
    <row r="67" spans="1:20">
      <c r="A67" s="292"/>
      <c r="B67" s="292"/>
      <c r="C67" s="292"/>
      <c r="D67" s="292"/>
      <c r="E67" s="292"/>
      <c r="F67" s="292"/>
      <c r="G67" s="292"/>
      <c r="H67" s="292"/>
      <c r="I67" s="292"/>
      <c r="J67" s="292"/>
      <c r="K67" s="292"/>
      <c r="L67" s="292"/>
      <c r="M67" s="292"/>
      <c r="N67" s="292"/>
      <c r="O67" s="292"/>
      <c r="P67" s="292"/>
      <c r="Q67" s="292"/>
      <c r="R67" s="292"/>
      <c r="S67" s="292"/>
      <c r="T67" s="292"/>
    </row>
    <row r="68" spans="1:20">
      <c r="A68" s="292"/>
      <c r="B68" s="292"/>
      <c r="C68" s="292"/>
      <c r="D68" s="292"/>
      <c r="E68" s="292"/>
      <c r="F68" s="292"/>
      <c r="G68" s="292"/>
      <c r="H68" s="292"/>
      <c r="I68" s="292"/>
      <c r="J68" s="292"/>
      <c r="K68" s="292"/>
      <c r="L68" s="292"/>
      <c r="M68" s="292"/>
      <c r="N68" s="292"/>
      <c r="O68" s="292"/>
      <c r="P68" s="292"/>
      <c r="Q68" s="292"/>
      <c r="R68" s="292"/>
      <c r="S68" s="292"/>
      <c r="T68" s="292"/>
    </row>
    <row r="69" spans="1:20">
      <c r="A69" s="292"/>
      <c r="B69" s="292"/>
      <c r="C69" s="292"/>
      <c r="D69" s="292"/>
      <c r="E69" s="292"/>
      <c r="F69" s="292"/>
      <c r="G69" s="292"/>
      <c r="H69" s="292"/>
      <c r="I69" s="292"/>
      <c r="J69" s="292"/>
      <c r="K69" s="292"/>
      <c r="L69" s="292"/>
      <c r="M69" s="292"/>
      <c r="N69" s="292"/>
      <c r="O69" s="292"/>
      <c r="P69" s="292"/>
      <c r="Q69" s="292"/>
      <c r="R69" s="292"/>
      <c r="S69" s="292"/>
      <c r="T69" s="292"/>
    </row>
    <row r="70" spans="1:20">
      <c r="A70" s="292"/>
      <c r="B70" s="292"/>
      <c r="C70" s="292"/>
      <c r="D70" s="292"/>
      <c r="E70" s="292"/>
      <c r="F70" s="292"/>
      <c r="G70" s="292"/>
      <c r="H70" s="292"/>
      <c r="I70" s="292"/>
      <c r="J70" s="292"/>
      <c r="K70" s="292"/>
      <c r="L70" s="292"/>
      <c r="M70" s="292"/>
      <c r="N70" s="292"/>
      <c r="O70" s="292"/>
      <c r="P70" s="292"/>
      <c r="Q70" s="292"/>
      <c r="R70" s="292"/>
      <c r="S70" s="292"/>
      <c r="T70" s="292"/>
    </row>
    <row r="71" spans="1:20">
      <c r="A71" s="292"/>
      <c r="B71" s="292"/>
      <c r="C71" s="292"/>
      <c r="D71" s="292"/>
      <c r="E71" s="292"/>
      <c r="F71" s="292"/>
      <c r="G71" s="292"/>
      <c r="H71" s="292"/>
      <c r="I71" s="292"/>
      <c r="J71" s="292"/>
      <c r="K71" s="292"/>
      <c r="L71" s="292"/>
      <c r="M71" s="292"/>
      <c r="N71" s="292"/>
      <c r="O71" s="292"/>
      <c r="P71" s="292"/>
      <c r="Q71" s="292"/>
      <c r="R71" s="292"/>
      <c r="S71" s="292"/>
      <c r="T71" s="292"/>
    </row>
    <row r="72" spans="1:20">
      <c r="A72" s="292"/>
      <c r="B72" s="292"/>
      <c r="C72" s="292"/>
      <c r="D72" s="292"/>
      <c r="E72" s="292"/>
      <c r="F72" s="292"/>
      <c r="G72" s="292"/>
      <c r="H72" s="292"/>
      <c r="I72" s="292"/>
      <c r="J72" s="292"/>
      <c r="K72" s="292"/>
      <c r="L72" s="292"/>
      <c r="M72" s="292"/>
      <c r="N72" s="292"/>
      <c r="O72" s="292"/>
      <c r="P72" s="292"/>
      <c r="Q72" s="292"/>
      <c r="R72" s="292"/>
      <c r="S72" s="292"/>
      <c r="T72" s="292"/>
    </row>
    <row r="73" spans="1:20">
      <c r="A73" s="292"/>
      <c r="B73" s="292"/>
      <c r="C73" s="292"/>
      <c r="D73" s="292"/>
      <c r="E73" s="292"/>
      <c r="F73" s="292"/>
      <c r="G73" s="292"/>
      <c r="H73" s="292"/>
      <c r="I73" s="292"/>
      <c r="J73" s="292"/>
      <c r="K73" s="292"/>
      <c r="L73" s="292"/>
      <c r="M73" s="292"/>
      <c r="N73" s="292"/>
      <c r="O73" s="292"/>
      <c r="P73" s="292"/>
      <c r="Q73" s="292"/>
      <c r="R73" s="292"/>
      <c r="S73" s="292"/>
      <c r="T73" s="292"/>
    </row>
    <row r="74" spans="1:20">
      <c r="A74" s="292"/>
      <c r="B74" s="292"/>
      <c r="C74" s="292"/>
      <c r="D74" s="292"/>
      <c r="E74" s="292"/>
      <c r="F74" s="292"/>
      <c r="G74" s="292"/>
      <c r="H74" s="292"/>
      <c r="I74" s="292"/>
      <c r="J74" s="292"/>
      <c r="K74" s="292"/>
      <c r="L74" s="292"/>
      <c r="M74" s="292"/>
      <c r="N74" s="292"/>
      <c r="O74" s="292"/>
      <c r="P74" s="292"/>
      <c r="Q74" s="292"/>
      <c r="R74" s="292"/>
      <c r="S74" s="292"/>
      <c r="T74" s="292"/>
    </row>
    <row r="75" spans="1:20">
      <c r="A75" s="292"/>
      <c r="B75" s="292"/>
      <c r="C75" s="292"/>
      <c r="D75" s="292"/>
      <c r="E75" s="292"/>
      <c r="F75" s="292"/>
      <c r="G75" s="292"/>
      <c r="H75" s="292"/>
      <c r="I75" s="292"/>
      <c r="J75" s="292"/>
      <c r="K75" s="292"/>
      <c r="L75" s="292"/>
      <c r="M75" s="292"/>
      <c r="N75" s="292"/>
      <c r="O75" s="292"/>
      <c r="P75" s="292"/>
      <c r="Q75" s="292"/>
      <c r="R75" s="292"/>
      <c r="S75" s="292"/>
      <c r="T75" s="292"/>
    </row>
    <row r="76" spans="1:20">
      <c r="A76" s="292"/>
      <c r="B76" s="292"/>
      <c r="C76" s="292"/>
      <c r="D76" s="292"/>
      <c r="E76" s="292"/>
      <c r="F76" s="292"/>
      <c r="G76" s="292"/>
      <c r="H76" s="292"/>
      <c r="I76" s="292"/>
      <c r="J76" s="292"/>
      <c r="K76" s="292"/>
      <c r="L76" s="292"/>
      <c r="M76" s="292"/>
      <c r="N76" s="292"/>
      <c r="O76" s="292"/>
      <c r="P76" s="292"/>
      <c r="Q76" s="292"/>
      <c r="R76" s="292"/>
      <c r="S76" s="292"/>
      <c r="T76" s="292"/>
    </row>
    <row r="77" spans="1:20">
      <c r="A77" s="292"/>
      <c r="B77" s="292"/>
      <c r="C77" s="292"/>
      <c r="D77" s="292"/>
      <c r="E77" s="292"/>
      <c r="F77" s="292"/>
      <c r="G77" s="292"/>
      <c r="H77" s="292"/>
      <c r="I77" s="292"/>
      <c r="J77" s="292"/>
      <c r="K77" s="292"/>
      <c r="L77" s="292"/>
      <c r="M77" s="292"/>
      <c r="N77" s="292"/>
      <c r="O77" s="292"/>
      <c r="P77" s="292"/>
      <c r="Q77" s="292"/>
      <c r="R77" s="292"/>
      <c r="S77" s="292"/>
      <c r="T77" s="292"/>
    </row>
    <row r="78" spans="1:20">
      <c r="A78" s="292"/>
      <c r="B78" s="292"/>
      <c r="C78" s="292"/>
      <c r="D78" s="292"/>
      <c r="E78" s="292"/>
      <c r="F78" s="292"/>
      <c r="G78" s="292"/>
      <c r="H78" s="292"/>
      <c r="I78" s="292"/>
      <c r="J78" s="292"/>
      <c r="K78" s="292"/>
      <c r="L78" s="292"/>
      <c r="M78" s="292"/>
      <c r="N78" s="292"/>
      <c r="O78" s="292"/>
      <c r="P78" s="292"/>
      <c r="Q78" s="292"/>
      <c r="R78" s="292"/>
      <c r="S78" s="292"/>
      <c r="T78" s="292"/>
    </row>
    <row r="79" spans="1:20">
      <c r="A79" s="292"/>
      <c r="B79" s="292"/>
      <c r="C79" s="292"/>
      <c r="D79" s="292"/>
      <c r="E79" s="292"/>
      <c r="F79" s="292"/>
      <c r="G79" s="292"/>
      <c r="H79" s="292"/>
      <c r="I79" s="292"/>
      <c r="J79" s="292"/>
      <c r="K79" s="292"/>
      <c r="L79" s="292"/>
      <c r="M79" s="292"/>
      <c r="N79" s="292"/>
      <c r="O79" s="292"/>
      <c r="P79" s="292"/>
      <c r="Q79" s="292"/>
      <c r="R79" s="292"/>
      <c r="S79" s="292"/>
      <c r="T79" s="292"/>
    </row>
    <row r="80" spans="1:20">
      <c r="A80" s="292"/>
      <c r="B80" s="292"/>
      <c r="C80" s="292"/>
      <c r="D80" s="292"/>
      <c r="E80" s="292"/>
      <c r="F80" s="292"/>
      <c r="G80" s="292"/>
      <c r="H80" s="292"/>
      <c r="I80" s="292"/>
      <c r="J80" s="292"/>
      <c r="K80" s="292"/>
      <c r="L80" s="292"/>
      <c r="M80" s="292"/>
      <c r="N80" s="292"/>
      <c r="O80" s="292"/>
      <c r="P80" s="292"/>
      <c r="Q80" s="292"/>
      <c r="R80" s="292"/>
      <c r="S80" s="292"/>
      <c r="T80" s="292"/>
    </row>
    <row r="81" spans="1:20">
      <c r="A81" s="292"/>
      <c r="B81" s="292"/>
      <c r="C81" s="292"/>
      <c r="D81" s="292"/>
      <c r="E81" s="292"/>
      <c r="F81" s="292"/>
      <c r="G81" s="292"/>
      <c r="H81" s="292"/>
      <c r="I81" s="292"/>
      <c r="J81" s="292"/>
      <c r="K81" s="292"/>
      <c r="L81" s="292"/>
      <c r="M81" s="292"/>
      <c r="N81" s="292"/>
      <c r="O81" s="292"/>
      <c r="P81" s="292"/>
      <c r="Q81" s="292"/>
      <c r="R81" s="292"/>
      <c r="S81" s="292"/>
      <c r="T81" s="292"/>
    </row>
    <row r="82" spans="1:20">
      <c r="A82" s="292"/>
      <c r="B82" s="292"/>
      <c r="C82" s="292"/>
      <c r="D82" s="292"/>
      <c r="E82" s="292"/>
      <c r="F82" s="292"/>
      <c r="G82" s="292"/>
      <c r="H82" s="292"/>
      <c r="I82" s="292"/>
      <c r="J82" s="292"/>
      <c r="K82" s="292"/>
      <c r="L82" s="292"/>
      <c r="M82" s="292"/>
      <c r="N82" s="292"/>
      <c r="O82" s="292"/>
      <c r="P82" s="292"/>
      <c r="Q82" s="292"/>
      <c r="R82" s="292"/>
      <c r="S82" s="292"/>
      <c r="T82" s="292"/>
    </row>
    <row r="83" spans="1:20">
      <c r="A83" s="292"/>
      <c r="B83" s="292"/>
      <c r="C83" s="292"/>
      <c r="D83" s="292"/>
      <c r="E83" s="292"/>
      <c r="F83" s="292"/>
      <c r="G83" s="292"/>
      <c r="H83" s="292"/>
      <c r="I83" s="292"/>
      <c r="J83" s="292"/>
      <c r="K83" s="292"/>
      <c r="L83" s="292"/>
      <c r="M83" s="292"/>
      <c r="N83" s="292"/>
      <c r="O83" s="292"/>
      <c r="P83" s="292"/>
      <c r="Q83" s="292"/>
      <c r="R83" s="292"/>
      <c r="S83" s="292"/>
      <c r="T83" s="292"/>
    </row>
    <row r="84" spans="1:20">
      <c r="A84" s="292"/>
      <c r="B84" s="292"/>
      <c r="C84" s="292"/>
      <c r="D84" s="292"/>
      <c r="E84" s="292"/>
      <c r="F84" s="292"/>
      <c r="G84" s="292"/>
      <c r="H84" s="292"/>
      <c r="I84" s="292"/>
      <c r="J84" s="292"/>
      <c r="K84" s="292"/>
      <c r="L84" s="292"/>
      <c r="M84" s="292"/>
      <c r="N84" s="292"/>
      <c r="O84" s="292"/>
      <c r="P84" s="292"/>
      <c r="Q84" s="292"/>
      <c r="R84" s="292"/>
      <c r="S84" s="292"/>
      <c r="T84" s="292"/>
    </row>
    <row r="85" spans="1:20">
      <c r="A85" s="292"/>
      <c r="B85" s="292"/>
      <c r="C85" s="292"/>
      <c r="D85" s="292"/>
      <c r="E85" s="292"/>
      <c r="F85" s="292"/>
      <c r="G85" s="292"/>
      <c r="H85" s="292"/>
      <c r="I85" s="292"/>
      <c r="J85" s="292"/>
      <c r="K85" s="292"/>
      <c r="L85" s="292"/>
      <c r="M85" s="292"/>
      <c r="N85" s="292"/>
      <c r="O85" s="292"/>
      <c r="P85" s="292"/>
      <c r="Q85" s="292"/>
      <c r="R85" s="292"/>
      <c r="S85" s="292"/>
      <c r="T85" s="292"/>
    </row>
    <row r="86" spans="1:20">
      <c r="A86" s="292"/>
      <c r="B86" s="292"/>
      <c r="C86" s="292"/>
      <c r="D86" s="292"/>
      <c r="E86" s="292"/>
      <c r="F86" s="292"/>
      <c r="G86" s="292"/>
      <c r="H86" s="292"/>
      <c r="I86" s="292"/>
      <c r="J86" s="292"/>
      <c r="K86" s="292"/>
      <c r="L86" s="292"/>
      <c r="M86" s="292"/>
      <c r="N86" s="292"/>
      <c r="O86" s="292"/>
      <c r="P86" s="292"/>
      <c r="Q86" s="292"/>
      <c r="R86" s="292"/>
      <c r="S86" s="292"/>
      <c r="T86" s="292"/>
    </row>
    <row r="87" spans="1:20">
      <c r="A87" s="292"/>
      <c r="B87" s="292"/>
      <c r="C87" s="292"/>
      <c r="D87" s="292"/>
      <c r="E87" s="292"/>
      <c r="F87" s="292"/>
      <c r="G87" s="292"/>
      <c r="H87" s="292"/>
      <c r="I87" s="292"/>
      <c r="J87" s="292"/>
      <c r="K87" s="292"/>
      <c r="L87" s="292"/>
      <c r="M87" s="292"/>
      <c r="N87" s="292"/>
      <c r="O87" s="292"/>
      <c r="P87" s="292"/>
      <c r="Q87" s="292"/>
      <c r="R87" s="292"/>
      <c r="S87" s="292"/>
      <c r="T87" s="292"/>
    </row>
    <row r="88" spans="1:20">
      <c r="A88" s="292"/>
      <c r="B88" s="292"/>
      <c r="C88" s="292"/>
      <c r="D88" s="292"/>
      <c r="E88" s="292"/>
      <c r="F88" s="292"/>
      <c r="G88" s="292"/>
      <c r="H88" s="292"/>
      <c r="I88" s="292"/>
      <c r="J88" s="292"/>
      <c r="K88" s="292"/>
      <c r="L88" s="292"/>
      <c r="M88" s="292"/>
      <c r="N88" s="292"/>
      <c r="O88" s="292"/>
      <c r="P88" s="292"/>
      <c r="Q88" s="292"/>
      <c r="R88" s="292"/>
      <c r="S88" s="292"/>
      <c r="T88" s="292"/>
    </row>
    <row r="89" spans="1:20">
      <c r="A89" s="292"/>
      <c r="B89" s="292"/>
      <c r="C89" s="292"/>
      <c r="D89" s="292"/>
      <c r="E89" s="292"/>
      <c r="F89" s="292"/>
      <c r="G89" s="292"/>
      <c r="H89" s="292"/>
      <c r="I89" s="292"/>
      <c r="J89" s="292"/>
      <c r="K89" s="292"/>
      <c r="L89" s="292"/>
      <c r="M89" s="292"/>
      <c r="N89" s="292"/>
      <c r="O89" s="292"/>
      <c r="P89" s="292"/>
      <c r="Q89" s="292"/>
      <c r="R89" s="292"/>
      <c r="S89" s="292"/>
      <c r="T89" s="292"/>
    </row>
  </sheetData>
  <mergeCells count="4">
    <mergeCell ref="A30:A31"/>
    <mergeCell ref="B30:B31"/>
    <mergeCell ref="R30:R31"/>
    <mergeCell ref="A32:A41"/>
  </mergeCells>
  <dataValidations count="1">
    <dataValidation type="list" allowBlank="1" showInputMessage="1" showErrorMessage="1" sqref="C12 E12 G12 I12 K12 M12 O12 Q12 S12">
      <formula1>$R$2:$R$3</formula1>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R175"/>
  <sheetViews>
    <sheetView zoomScale="55" zoomScaleNormal="55" workbookViewId="0">
      <selection activeCell="E1" sqref="E1:M1"/>
    </sheetView>
  </sheetViews>
  <sheetFormatPr defaultColWidth="9.33203125" defaultRowHeight="14.25"/>
  <cols>
    <col min="1" max="1" width="51.83203125" style="95" bestFit="1" customWidth="1"/>
    <col min="2" max="2" width="13.1640625" style="95" bestFit="1" customWidth="1"/>
    <col min="3" max="3" width="12.33203125" style="117" bestFit="1" customWidth="1"/>
    <col min="4" max="4" width="5.83203125" style="95" customWidth="1"/>
    <col min="5" max="5" width="67.6640625" style="95" bestFit="1" customWidth="1"/>
    <col min="6" max="6" width="14.5" style="95" bestFit="1" customWidth="1"/>
    <col min="7" max="7" width="12.5" style="95" bestFit="1" customWidth="1"/>
    <col min="8" max="8" width="13" style="95" bestFit="1" customWidth="1"/>
    <col min="9" max="9" width="14.5" style="95" bestFit="1" customWidth="1"/>
    <col min="10" max="10" width="9.1640625" style="95" bestFit="1" customWidth="1"/>
    <col min="11" max="11" width="15.6640625" style="95" bestFit="1" customWidth="1"/>
    <col min="12" max="12" width="13.1640625" style="95" bestFit="1" customWidth="1"/>
    <col min="13" max="13" width="41.33203125" style="95" bestFit="1" customWidth="1"/>
    <col min="14" max="14" width="9.6640625" style="95" bestFit="1" customWidth="1"/>
    <col min="15" max="15" width="9" style="95" bestFit="1" customWidth="1"/>
    <col min="16" max="17" width="13.1640625" style="95" bestFit="1" customWidth="1"/>
    <col min="18" max="18" width="15.33203125" style="95" bestFit="1" customWidth="1"/>
    <col min="19" max="19" width="26.33203125" style="95" bestFit="1" customWidth="1"/>
    <col min="20" max="20" width="27.1640625" style="95" bestFit="1" customWidth="1"/>
    <col min="21" max="21" width="43.6640625" style="95" bestFit="1" customWidth="1"/>
    <col min="22" max="22" width="37.6640625" style="95" bestFit="1" customWidth="1"/>
    <col min="23" max="23" width="51" style="95" bestFit="1" customWidth="1"/>
    <col min="24" max="24" width="27.83203125" style="95" bestFit="1" customWidth="1"/>
    <col min="25" max="25" width="13.1640625" style="95" bestFit="1" customWidth="1"/>
    <col min="26" max="26" width="8.83203125" style="95" bestFit="1" customWidth="1"/>
    <col min="27" max="29" width="13.83203125" style="95" bestFit="1" customWidth="1"/>
    <col min="30" max="30" width="2.83203125" style="95" customWidth="1"/>
    <col min="31" max="31" width="22.6640625" style="95" bestFit="1" customWidth="1"/>
    <col min="32" max="32" width="40.83203125" style="95" bestFit="1" customWidth="1"/>
    <col min="33" max="34" width="13.1640625" style="95" bestFit="1" customWidth="1"/>
    <col min="35" max="35" width="4.83203125" style="95" customWidth="1"/>
    <col min="36" max="38" width="13.1640625" style="95" bestFit="1" customWidth="1"/>
    <col min="39" max="39" width="4.83203125" style="95" customWidth="1"/>
    <col min="40" max="42" width="13.83203125" style="95" bestFit="1" customWidth="1"/>
    <col min="43" max="43" width="2.83203125" style="95" customWidth="1"/>
    <col min="44" max="44" width="13.1640625" style="95" bestFit="1" customWidth="1"/>
    <col min="45" max="16384" width="9.33203125" style="95"/>
  </cols>
  <sheetData>
    <row r="1" spans="1:19" ht="33">
      <c r="A1" s="92" t="s">
        <v>90</v>
      </c>
      <c r="B1" s="93">
        <f>299792458</f>
        <v>299792458</v>
      </c>
      <c r="C1" s="94" t="s">
        <v>10</v>
      </c>
      <c r="E1" s="365" t="s">
        <v>461</v>
      </c>
      <c r="F1" s="365"/>
      <c r="G1" s="365"/>
      <c r="H1" s="365"/>
      <c r="I1" s="365"/>
      <c r="J1" s="365"/>
      <c r="K1" s="365"/>
      <c r="L1" s="365"/>
      <c r="M1" s="365"/>
      <c r="N1" s="96"/>
      <c r="O1" s="96"/>
      <c r="P1" s="96"/>
    </row>
    <row r="2" spans="1:19" ht="15" thickBot="1">
      <c r="A2" s="97" t="s">
        <v>91</v>
      </c>
      <c r="B2" s="98">
        <f>6.6260755E-34</f>
        <v>6.6260755E-34</v>
      </c>
      <c r="C2" s="99" t="s">
        <v>92</v>
      </c>
      <c r="E2" s="96"/>
      <c r="O2" s="100"/>
    </row>
    <row r="3" spans="1:19">
      <c r="A3" s="97" t="s">
        <v>93</v>
      </c>
      <c r="B3" s="98">
        <f>1.380658E-23</f>
        <v>1.3806580000000001E-23</v>
      </c>
      <c r="C3" s="99" t="s">
        <v>94</v>
      </c>
      <c r="E3" s="101" t="s">
        <v>216</v>
      </c>
      <c r="F3" s="102"/>
      <c r="G3" s="103" t="s">
        <v>95</v>
      </c>
      <c r="H3" s="104"/>
      <c r="I3" s="104"/>
      <c r="J3" s="104" t="s">
        <v>96</v>
      </c>
      <c r="K3" s="103" t="s">
        <v>97</v>
      </c>
      <c r="L3" s="105"/>
      <c r="M3" s="106"/>
      <c r="N3" s="104"/>
      <c r="O3" s="107"/>
      <c r="P3" s="104"/>
      <c r="Q3" s="104"/>
      <c r="R3" s="105"/>
    </row>
    <row r="4" spans="1:19" ht="15" thickBot="1">
      <c r="A4" s="108" t="s">
        <v>98</v>
      </c>
      <c r="B4" s="109">
        <f>0.0000000567051</f>
        <v>5.6705100000000003E-8</v>
      </c>
      <c r="C4" s="110" t="s">
        <v>99</v>
      </c>
      <c r="E4" s="111" t="s">
        <v>100</v>
      </c>
      <c r="F4" s="112" t="s">
        <v>101</v>
      </c>
      <c r="G4" s="112" t="s">
        <v>102</v>
      </c>
      <c r="H4" s="112" t="s">
        <v>103</v>
      </c>
      <c r="I4" s="112" t="s">
        <v>104</v>
      </c>
      <c r="J4" s="112"/>
      <c r="K4" s="113" t="s">
        <v>101</v>
      </c>
      <c r="L4" s="114"/>
      <c r="M4" s="115" t="s">
        <v>102</v>
      </c>
      <c r="N4" s="113"/>
      <c r="O4" s="113" t="s">
        <v>103</v>
      </c>
      <c r="P4" s="113"/>
      <c r="Q4" s="113" t="s">
        <v>104</v>
      </c>
      <c r="R4" s="116"/>
    </row>
    <row r="5" spans="1:19">
      <c r="E5" s="118">
        <v>0</v>
      </c>
      <c r="F5" s="95">
        <v>8.4</v>
      </c>
      <c r="G5" s="100">
        <f>$B$34*1.2*10^0</f>
        <v>1.2</v>
      </c>
      <c r="H5" s="100">
        <f>1.2*10^0*$B$34</f>
        <v>1.2</v>
      </c>
      <c r="I5" s="100">
        <f>1.2*10^0*$B$34</f>
        <v>1.2</v>
      </c>
      <c r="J5" s="100"/>
      <c r="K5" s="95">
        <f t="array" ref="K5:L5">LOGEST(F5:F6,E5:E6)</f>
        <v>0.99647343942365929</v>
      </c>
      <c r="L5" s="119">
        <v>8.4</v>
      </c>
      <c r="M5" s="120">
        <f t="array" ref="M5:N5">LOGEST(G5:G6,E5:E6)</f>
        <v>0.86267099598919128</v>
      </c>
      <c r="N5" s="100">
        <v>1.2000000000000013</v>
      </c>
      <c r="O5" s="100">
        <f t="array" ref="O5:P5">LOGEST(H5:H6,E5:E6)</f>
        <v>0.86300148430553925</v>
      </c>
      <c r="P5" s="100">
        <v>1.2000000000000004</v>
      </c>
      <c r="Q5" s="95">
        <f t="array" ref="Q5:R5">LOGEST(I5:I6,E5:E6)</f>
        <v>0.86354284336938314</v>
      </c>
      <c r="R5" s="121">
        <v>1.2000000000000024</v>
      </c>
      <c r="S5" s="100"/>
    </row>
    <row r="6" spans="1:19" ht="15" thickBot="1">
      <c r="E6" s="118">
        <v>100</v>
      </c>
      <c r="F6" s="95">
        <v>5.9</v>
      </c>
      <c r="G6" s="100">
        <f>4.61*10^-7*$B$34</f>
        <v>4.6100000000000001E-7</v>
      </c>
      <c r="H6" s="100">
        <f>4.79*10^-7*$B$34</f>
        <v>4.7899999999999999E-7</v>
      </c>
      <c r="I6" s="100">
        <f>5.1*10^-7*$B$34</f>
        <v>5.0999999999999999E-7</v>
      </c>
      <c r="J6" s="100"/>
      <c r="K6" s="95">
        <f t="array" ref="K6:L6">LOGEST(F6:F7,E6:E7)</f>
        <v>1.0297072329929207</v>
      </c>
      <c r="L6" s="119">
        <v>0.31584621299500232</v>
      </c>
      <c r="M6" s="120">
        <f t="array" ref="M6:N6">LOGEST(G6:G7,E6:E7)</f>
        <v>0.89346112401831479</v>
      </c>
      <c r="N6" s="100">
        <v>3.5986108723599558E-2</v>
      </c>
      <c r="O6" s="100">
        <f t="array" ref="O6:P6">LOGEST(H6:H7,E6:E7)</f>
        <v>0.89443103759468146</v>
      </c>
      <c r="P6" s="100">
        <v>3.3546667989377735E-2</v>
      </c>
      <c r="Q6" s="95">
        <f t="array" ref="Q6:R6">LOGEST(I6:I7,E6:E7)</f>
        <v>0.89544970934785129</v>
      </c>
      <c r="R6" s="121">
        <v>3.1875000000000216E-2</v>
      </c>
      <c r="S6" s="100"/>
    </row>
    <row r="7" spans="1:19" ht="15" thickBot="1">
      <c r="A7" s="122" t="s">
        <v>217</v>
      </c>
      <c r="B7" s="123">
        <v>132700000000</v>
      </c>
      <c r="C7" s="124" t="s">
        <v>105</v>
      </c>
      <c r="E7" s="118">
        <v>150</v>
      </c>
      <c r="F7" s="95">
        <v>25.5</v>
      </c>
      <c r="G7" s="100">
        <f>1.65*10^-9*$B$34</f>
        <v>1.6500000000000001E-9</v>
      </c>
      <c r="H7" s="100">
        <f>1.81*10^-9*$B$34</f>
        <v>1.8100000000000002E-9</v>
      </c>
      <c r="I7" s="100">
        <f>2.04*10^-9*$B$34</f>
        <v>2.04E-9</v>
      </c>
      <c r="J7" s="100"/>
      <c r="K7" s="95">
        <f t="array" ref="K7:L7">LOGEST(F7:F8,E7:E8)</f>
        <v>1.0077430733560648</v>
      </c>
      <c r="L7" s="119">
        <v>8.018015999999994</v>
      </c>
      <c r="M7" s="120">
        <f t="array" ref="M7:N7">LOGEST(G7:G8,E7:E8)</f>
        <v>0.95644218110239376</v>
      </c>
      <c r="N7" s="100">
        <v>1.3142432947406164E-6</v>
      </c>
      <c r="O7" s="100">
        <f t="array" ref="O7:P7">LOGEST(H7:H8,E7:E8)</f>
        <v>0.96141045125510749</v>
      </c>
      <c r="P7" s="100">
        <v>6.627545774349797E-7</v>
      </c>
      <c r="Q7" s="95">
        <f t="array" ref="Q7:R7">LOGEST(I7:I8,E7:E8)</f>
        <v>0.96546881378077976</v>
      </c>
      <c r="R7" s="121">
        <v>3.9709340956047757E-7</v>
      </c>
      <c r="S7" s="100"/>
    </row>
    <row r="8" spans="1:19" ht="15" thickBot="1">
      <c r="E8" s="118">
        <v>200</v>
      </c>
      <c r="F8" s="95">
        <v>37.5</v>
      </c>
      <c r="G8" s="100">
        <f>1.78*10^-10*$B$34</f>
        <v>1.7800000000000001E-10</v>
      </c>
      <c r="H8" s="100">
        <f>2.53*10^-10*$B$34</f>
        <v>2.5300000000000001E-10</v>
      </c>
      <c r="I8" s="100">
        <f>3.52*10^-10*$B$34</f>
        <v>3.5200000000000003E-10</v>
      </c>
      <c r="J8" s="100"/>
      <c r="K8" s="95">
        <f t="array" ref="K8:L8">LOGEST(F8:F9,E8:E9)</f>
        <v>1.0035636789870466</v>
      </c>
      <c r="L8" s="119">
        <v>18.409597045466189</v>
      </c>
      <c r="M8" s="120">
        <f t="array" ref="M8:N8">LOGEST(G8:G9,E8:E9)</f>
        <v>0.96714701577121509</v>
      </c>
      <c r="N8" s="100">
        <v>1.4187987049891646E-7</v>
      </c>
      <c r="O8" s="100">
        <f t="array" ref="O8:P8">LOGEST(H8:H9,E8:E9)</f>
        <v>0.97239178546508487</v>
      </c>
      <c r="P8" s="100">
        <v>6.836979018839576E-8</v>
      </c>
      <c r="Q8" s="95">
        <f t="array" ref="Q8:R8">LOGEST(I8:I9,E8:E9)</f>
        <v>0.97628195923691496</v>
      </c>
      <c r="R8" s="121">
        <v>4.2804542175819242E-8</v>
      </c>
      <c r="S8" s="100"/>
    </row>
    <row r="9" spans="1:19">
      <c r="A9" s="125" t="s">
        <v>218</v>
      </c>
      <c r="B9" s="126">
        <f>VLOOKUP('Chemical Propulsion - Sizing'!H8,Constants!K29:V39,11,FALSE)</f>
        <v>149600016.456</v>
      </c>
      <c r="C9" s="94" t="s">
        <v>2</v>
      </c>
      <c r="E9" s="118">
        <v>250</v>
      </c>
      <c r="F9" s="95">
        <v>44.8</v>
      </c>
      <c r="G9" s="100">
        <f>3.35*10^-11*$B$34</f>
        <v>3.3500000000000001E-11</v>
      </c>
      <c r="H9" s="100">
        <f>6.24*10^-11*$B$34</f>
        <v>6.2399999999999999E-11</v>
      </c>
      <c r="I9" s="100">
        <f>1.06*10^-10*$B$34</f>
        <v>1.0600000000000001E-10</v>
      </c>
      <c r="J9" s="100"/>
      <c r="K9" s="95">
        <f t="array" ref="K9:L9">LOGEST(F9:F10,E9:E10)</f>
        <v>1.0023186226113339</v>
      </c>
      <c r="L9" s="119">
        <v>25.108927269167818</v>
      </c>
      <c r="M9" s="120">
        <f t="array" ref="M9:N9">LOGEST(G9:G10,E9:E10)</f>
        <v>0.97222051708922141</v>
      </c>
      <c r="N9" s="100">
        <v>3.8357415185596573E-8</v>
      </c>
      <c r="O9" s="100">
        <f t="array" ref="O9:P9">LOGEST(H9:H10,E9:E10)</f>
        <v>0.97700548171152435</v>
      </c>
      <c r="P9" s="100">
        <v>2.0937965568000135E-8</v>
      </c>
      <c r="Q9" s="95">
        <f t="array" ref="Q9:R9">LOGEST(I9:I10,E9:E10)</f>
        <v>0.98050042536913595</v>
      </c>
      <c r="R9" s="121">
        <v>1.456663579927229E-8</v>
      </c>
      <c r="S9" s="100"/>
    </row>
    <row r="10" spans="1:19">
      <c r="A10" s="127" t="s">
        <v>219</v>
      </c>
      <c r="B10" s="128">
        <f>VLOOKUP('Chemical Propulsion - Sizing'!H8,Constants!K29:V39,10,FALSE)</f>
        <v>365.25599999999997</v>
      </c>
      <c r="C10" s="99" t="s">
        <v>26</v>
      </c>
      <c r="E10" s="118">
        <v>300</v>
      </c>
      <c r="F10" s="95">
        <v>50.3</v>
      </c>
      <c r="G10" s="100">
        <f>8.19*10^-12*$B$34</f>
        <v>8.1899999999999996E-12</v>
      </c>
      <c r="H10" s="100">
        <f>1.95*10^-11*$B$34</f>
        <v>1.9499999999999997E-11</v>
      </c>
      <c r="I10" s="100">
        <f>3.96*10^-11*$B$34</f>
        <v>3.9599999999999998E-11</v>
      </c>
      <c r="J10" s="100"/>
      <c r="K10" s="95">
        <f t="array" ref="K10:L10">LOGEST(F10:F11,E10:E11)</f>
        <v>1.0017151715639681</v>
      </c>
      <c r="L10" s="119">
        <v>30.08101903544739</v>
      </c>
      <c r="M10" s="120">
        <f t="array" ref="M10:N10">LOGEST(G10:G11,E10:E11)</f>
        <v>0.97525601850620436</v>
      </c>
      <c r="N10" s="100">
        <v>1.5055395468750046E-8</v>
      </c>
      <c r="O10" s="100">
        <f t="array" ref="O10:P10">LOGEST(H10:H11,E10:E11)</f>
        <v>0.97966234659641926</v>
      </c>
      <c r="P10" s="100">
        <v>9.2706405771136565E-9</v>
      </c>
      <c r="Q10" s="95">
        <f t="array" ref="Q10:R10">LOGEST(I10:I11,E10:E11)</f>
        <v>0.98285628058069752</v>
      </c>
      <c r="R10" s="121">
        <v>7.0907148974368284E-9</v>
      </c>
      <c r="S10" s="100"/>
    </row>
    <row r="11" spans="1:19">
      <c r="A11" s="127" t="s">
        <v>220</v>
      </c>
      <c r="B11" s="95">
        <f>VLOOKUP('Chemical Propulsion - Sizing'!H8,Constants!K29:V39,7,FALSE)</f>
        <v>6378.1369999999997</v>
      </c>
      <c r="C11" s="99" t="s">
        <v>2</v>
      </c>
      <c r="E11" s="118">
        <v>350</v>
      </c>
      <c r="F11" s="95">
        <v>54.8</v>
      </c>
      <c r="G11" s="100">
        <f>2.34*10^-12*$B$34</f>
        <v>2.3399999999999997E-12</v>
      </c>
      <c r="H11" s="100">
        <f>6.98*10^-12*$B$34</f>
        <v>6.9800000000000006E-12</v>
      </c>
      <c r="I11" s="100">
        <f>1.668*10^-11*$B$34</f>
        <v>1.6679999999999998E-11</v>
      </c>
      <c r="J11" s="100"/>
      <c r="K11" s="95">
        <f t="array" ref="K11:L11">LOGEST(F11:F12,E11:E12)</f>
        <v>1.0012046281980518</v>
      </c>
      <c r="L11" s="119">
        <v>35.957010369125094</v>
      </c>
      <c r="M11" s="120">
        <f t="array" ref="M11:N11">LOGEST(G11:G12,E11:E12)</f>
        <v>0.97702551278446703</v>
      </c>
      <c r="N11" s="100">
        <v>7.9826905087363789E-9</v>
      </c>
      <c r="O11" s="100">
        <f t="array" ref="O11:P11">LOGEST(H11:H12,E11:E12)</f>
        <v>0.98132817847367793</v>
      </c>
      <c r="P11" s="100">
        <v>5.1151815532580723E-9</v>
      </c>
      <c r="Q11" s="95">
        <f t="array" ref="Q11:R11">LOGEST(I11:I12,E11:E12)</f>
        <v>0.98427174476845669</v>
      </c>
      <c r="R11" s="121">
        <v>4.2848903122017038E-9</v>
      </c>
      <c r="S11" s="100"/>
    </row>
    <row r="12" spans="1:19">
      <c r="A12" s="127" t="s">
        <v>221</v>
      </c>
      <c r="B12" s="95">
        <f>VLOOKUP('Chemical Propulsion - Sizing'!H8,Constants!K29:Q39,6,FALSE)</f>
        <v>398600.44179999997</v>
      </c>
      <c r="C12" s="99" t="s">
        <v>105</v>
      </c>
      <c r="E12" s="118">
        <v>400</v>
      </c>
      <c r="F12" s="95">
        <v>58.2</v>
      </c>
      <c r="G12" s="100">
        <f>0.000000000000732*$B$34</f>
        <v>7.3200000000000001E-13</v>
      </c>
      <c r="H12" s="100">
        <f>0.00000000000272*$B$34</f>
        <v>2.7200000000000001E-12</v>
      </c>
      <c r="I12" s="100">
        <f>0.00000000000755*$B$34</f>
        <v>7.5500000000000007E-12</v>
      </c>
      <c r="J12" s="100"/>
      <c r="K12" s="95">
        <f t="array" ref="K12:L12">LOGEST(F12:F13,E12:E13)</f>
        <v>1.0010384285580636</v>
      </c>
      <c r="L12" s="119">
        <v>38.425813069096527</v>
      </c>
      <c r="M12" s="120">
        <f t="array" ref="M12:N12">LOGEST(G12:G13,E12:E13)</f>
        <v>0.97850650567608033</v>
      </c>
      <c r="N12" s="100">
        <v>4.3553604537007836E-9</v>
      </c>
      <c r="O12" s="100">
        <f t="array" ref="O12:P12">LOGEST(H12:H13,E12:E13)</f>
        <v>0.98258513759556954</v>
      </c>
      <c r="P12" s="100">
        <v>3.0654383649850907E-9</v>
      </c>
      <c r="Q12" s="95">
        <f t="array" ref="Q12:R12">LOGEST(I12:I13,E12:E13)</f>
        <v>0.98535155208239156</v>
      </c>
      <c r="R12" s="121">
        <v>2.7635348737019309E-9</v>
      </c>
      <c r="S12" s="100"/>
    </row>
    <row r="13" spans="1:19">
      <c r="A13" s="127" t="s">
        <v>222</v>
      </c>
      <c r="B13" s="129">
        <f>23+56/60+4/3600</f>
        <v>23.934444444444445</v>
      </c>
      <c r="C13" s="99" t="s">
        <v>223</v>
      </c>
      <c r="E13" s="118">
        <v>450</v>
      </c>
      <c r="F13" s="95">
        <v>61.3</v>
      </c>
      <c r="G13" s="100">
        <f>0.000000000000247*$B$34</f>
        <v>2.4700000000000001E-13</v>
      </c>
      <c r="H13" s="100">
        <f>0.00000000000113*$B$34</f>
        <v>1.13E-12</v>
      </c>
      <c r="I13" s="100">
        <f>0.00000000000361*$B$34</f>
        <v>3.6100000000000002E-12</v>
      </c>
      <c r="J13" s="100"/>
      <c r="K13" s="95">
        <f t="array" ref="K13:L13">LOGEST(F13:F14,E13:E14)</f>
        <v>1.0010182256573112</v>
      </c>
      <c r="L13" s="119">
        <v>38.776384530432807</v>
      </c>
      <c r="M13" s="120">
        <f t="array" ref="M13:N13">LOGEST(G13:G14,E13:E14)</f>
        <v>0.97996730783460739</v>
      </c>
      <c r="N13" s="100">
        <v>2.2257813678725773E-9</v>
      </c>
      <c r="O13" s="100">
        <f t="array" ref="O13:P13">LOGEST(H13:H14,E13:E14)</f>
        <v>0.98338732952300345</v>
      </c>
      <c r="P13" s="100">
        <v>2.1232674535004475E-9</v>
      </c>
      <c r="Q13" s="95">
        <f t="array" ref="Q13:R13">LOGEST(I13:I14,E13:E14)</f>
        <v>0.98617799126284589</v>
      </c>
      <c r="R13" s="121">
        <v>1.8950447638629697E-9</v>
      </c>
      <c r="S13" s="100"/>
    </row>
    <row r="14" spans="1:19" ht="15" thickBot="1">
      <c r="A14" s="130" t="s">
        <v>224</v>
      </c>
      <c r="B14" s="131">
        <f>VLOOKUP('Chemical Propulsion - Sizing'!H8,Constants!K29:V39,9,FALSE)</f>
        <v>24</v>
      </c>
      <c r="C14" s="132" t="s">
        <v>223</v>
      </c>
      <c r="E14" s="118">
        <v>500</v>
      </c>
      <c r="F14" s="95">
        <v>64.5</v>
      </c>
      <c r="G14" s="100">
        <f>0.0000000000000898*$B$34</f>
        <v>8.9800000000000006E-14</v>
      </c>
      <c r="H14" s="100">
        <f>0.000000000000489*$B$34</f>
        <v>4.8900000000000004E-13</v>
      </c>
      <c r="I14" s="100">
        <f>0.0000000000018*$B$34</f>
        <v>1.8E-12</v>
      </c>
      <c r="J14" s="100"/>
      <c r="K14" s="95">
        <f t="array" ref="K14:L14">LOGEST(F14:F15,E14:E15)</f>
        <v>1.0012624757609592</v>
      </c>
      <c r="L14" s="119">
        <v>34.323335891636866</v>
      </c>
      <c r="M14" s="120">
        <f t="array" ref="M14:N14">LOGEST(G14:G15,E14:E15)</f>
        <v>0.98204775184085935</v>
      </c>
      <c r="N14" s="100">
        <v>7.7085634766226934E-10</v>
      </c>
      <c r="O14" s="100">
        <f t="array" ref="O14:P14">LOGEST(H14:H15,E14:E15)</f>
        <v>0.98424148961990421</v>
      </c>
      <c r="P14" s="100">
        <v>1.3755447178182631E-9</v>
      </c>
      <c r="Q14" s="95">
        <f t="array" ref="Q14:R14">LOGEST(I14:I15,E14:E15)</f>
        <v>0.98677328788241292</v>
      </c>
      <c r="R14" s="121">
        <v>1.4014584573745438E-9</v>
      </c>
      <c r="S14" s="100"/>
    </row>
    <row r="15" spans="1:19" ht="15" thickBot="1">
      <c r="E15" s="118">
        <v>550</v>
      </c>
      <c r="F15" s="95">
        <v>68.7</v>
      </c>
      <c r="G15" s="100">
        <f>0.0000000000000363*$B$34</f>
        <v>3.6300000000000001E-14</v>
      </c>
      <c r="H15" s="100">
        <f>0.000000000000221*$B$34</f>
        <v>2.2099999999999999E-13</v>
      </c>
      <c r="I15" s="100">
        <f>0.000000000000925*$B$34</f>
        <v>9.25E-13</v>
      </c>
      <c r="J15" s="100"/>
      <c r="K15" s="95">
        <f t="array" ref="K15:L15">LOGEST(F15:F16,E15:E16)</f>
        <v>1.0017028218724708</v>
      </c>
      <c r="L15" s="119">
        <v>26.950279165713035</v>
      </c>
      <c r="M15" s="120">
        <f t="array" ref="M15:N15">LOGEST(G15:G16,E15:E16)</f>
        <v>0.98470933069819921</v>
      </c>
      <c r="N15" s="100">
        <v>1.7397121696089749E-10</v>
      </c>
      <c r="O15" s="100">
        <f t="array" ref="O15:P15">LOGEST(H15:H16,E15:E16)</f>
        <v>0.98503762945483397</v>
      </c>
      <c r="P15" s="100">
        <v>8.8174001825821176E-10</v>
      </c>
      <c r="Q15" s="95">
        <f t="array" ref="Q15:R15">LOGEST(I15:I16,E15:E16)</f>
        <v>0.98733229452271587</v>
      </c>
      <c r="R15" s="121">
        <v>1.0263685655874676E-9</v>
      </c>
      <c r="S15" s="100"/>
    </row>
    <row r="16" spans="1:19">
      <c r="A16" s="125" t="s">
        <v>225</v>
      </c>
      <c r="B16" s="126">
        <f>VLOOKUP('Chemical Propulsion - Sizing'!H8,Constants!K29:V39,11,FALSE)</f>
        <v>149600016.456</v>
      </c>
      <c r="C16" s="94" t="s">
        <v>2</v>
      </c>
      <c r="E16" s="118">
        <v>600</v>
      </c>
      <c r="F16" s="95">
        <v>74.8</v>
      </c>
      <c r="G16" s="100">
        <f>0.0000000000000168*$B$34</f>
        <v>1.6799999999999998E-14</v>
      </c>
      <c r="H16" s="100">
        <f>0.000000000000104*$B$34</f>
        <v>1.04E-13</v>
      </c>
      <c r="I16" s="100">
        <f>0.000000000000489*$B$34</f>
        <v>4.8900000000000004E-13</v>
      </c>
      <c r="J16" s="100"/>
      <c r="K16" s="95">
        <f t="array" ref="K16:L16">LOGEST(F16:F17,E16:E17)</f>
        <v>1.0024179087704428</v>
      </c>
      <c r="L16" s="119">
        <v>17.563514060429057</v>
      </c>
      <c r="M16" s="120">
        <f t="array" ref="M16:N16">LOGEST(G16:G17,E16:E17)</f>
        <v>0.98789943779896028</v>
      </c>
      <c r="N16" s="100">
        <v>2.4984249810371628E-11</v>
      </c>
      <c r="O16" s="100">
        <f t="array" ref="O16:P16">LOGEST(H16:H17,E16:E17)</f>
        <v>0.98604214505505416</v>
      </c>
      <c r="P16" s="100">
        <v>4.783509737758123E-10</v>
      </c>
      <c r="Q16" s="95">
        <f t="array" ref="Q16:R16">LOGEST(I16:I17,E16:E17)</f>
        <v>0.98774741403839106</v>
      </c>
      <c r="R16" s="121">
        <v>7.975685973417382E-10</v>
      </c>
      <c r="S16" s="100"/>
    </row>
    <row r="17" spans="1:23">
      <c r="A17" s="127" t="s">
        <v>226</v>
      </c>
      <c r="B17" s="95">
        <f>VLOOKUP('Chemical Propulsion - Sizing'!H8,Constants!K29:V39,10,FALSE)</f>
        <v>365.25599999999997</v>
      </c>
      <c r="C17" s="99" t="s">
        <v>26</v>
      </c>
      <c r="E17" s="118">
        <v>650</v>
      </c>
      <c r="F17" s="95">
        <v>84.4</v>
      </c>
      <c r="G17" s="100">
        <f>0.00000000000000914*$B$34</f>
        <v>9.1399999999999994E-15</v>
      </c>
      <c r="H17" s="100">
        <f>0.0000000000000515*$B$34</f>
        <v>5.1500000000000001E-14</v>
      </c>
      <c r="I17" s="100">
        <f>0.000000000000264*$B$34</f>
        <v>2.6399999999999999E-13</v>
      </c>
      <c r="J17" s="100"/>
      <c r="K17" s="95">
        <f t="array" ref="K17:L17">LOGEST(F17:F18,E17:E18)</f>
        <v>1.0032568554554959</v>
      </c>
      <c r="L17" s="119">
        <v>10.196568057906818</v>
      </c>
      <c r="M17" s="120">
        <f t="array" ref="M17:N17">LOGEST(G17:G18,E17:E18)</f>
        <v>0.99073912500205386</v>
      </c>
      <c r="N17" s="100">
        <v>3.8671599834519859E-12</v>
      </c>
      <c r="O17" s="100">
        <f t="array" ref="O17:P17">LOGEST(H17:H18,E17:E18)</f>
        <v>0.98731385949615302</v>
      </c>
      <c r="P17" s="100">
        <v>2.0696907282656924E-10</v>
      </c>
      <c r="Q17" s="95">
        <f t="array" ref="Q17:R17">LOGEST(I17:I18,E17:E18)</f>
        <v>0.98835796872936854</v>
      </c>
      <c r="R17" s="121">
        <v>5.3373984411506108E-10</v>
      </c>
      <c r="S17" s="100"/>
    </row>
    <row r="18" spans="1:23">
      <c r="A18" s="127" t="s">
        <v>227</v>
      </c>
      <c r="B18" s="95">
        <f>VLOOKUP('Chemical Propulsion - Sizing'!H8,Constants!K29:V39,7,FALSE)</f>
        <v>6378.1369999999997</v>
      </c>
      <c r="C18" s="99" t="s">
        <v>2</v>
      </c>
      <c r="E18" s="118">
        <v>700</v>
      </c>
      <c r="F18" s="95">
        <v>99.3</v>
      </c>
      <c r="G18" s="100">
        <f>0.00000000000000574*$B$34</f>
        <v>5.7400000000000002E-15</v>
      </c>
      <c r="H18" s="100">
        <f>0.0000000000000272*$B$34</f>
        <v>2.72E-14</v>
      </c>
      <c r="I18" s="100">
        <f>0.000000000000147*$B$34</f>
        <v>1.47E-13</v>
      </c>
      <c r="J18" s="100"/>
      <c r="K18" s="95">
        <f t="array" ref="K18:L18">LOGEST(F18:F19,E18:E19)</f>
        <v>1.0039607225025682</v>
      </c>
      <c r="L18" s="119">
        <v>6.2408471064885678</v>
      </c>
      <c r="M18" s="120">
        <f t="array" ref="M18:N18">LOGEST(G18:G19,E18:E19)</f>
        <v>0.99275302727877701</v>
      </c>
      <c r="N18" s="100">
        <v>9.33378614960351E-13</v>
      </c>
      <c r="O18" s="100">
        <f t="array" ref="O18:P18">LOGEST(H18:H19,E18:E19)</f>
        <v>0.98881547809545578</v>
      </c>
      <c r="P18" s="100">
        <v>7.1431502647818523E-11</v>
      </c>
      <c r="Q18" s="95">
        <f t="array" ref="Q18:R18">LOGEST(I18:I19,E18:E19)</f>
        <v>0.98879932770823109</v>
      </c>
      <c r="R18" s="121">
        <v>3.9048432895712179E-10</v>
      </c>
      <c r="S18" s="100"/>
    </row>
    <row r="19" spans="1:23">
      <c r="A19" s="127" t="s">
        <v>228</v>
      </c>
      <c r="B19" s="95">
        <f>VLOOKUP('Chemical Propulsion - Sizing'!H8,Constants!K29:Q39,6,FALSE)</f>
        <v>398600.44179999997</v>
      </c>
      <c r="C19" s="99" t="s">
        <v>105</v>
      </c>
      <c r="E19" s="118">
        <v>750</v>
      </c>
      <c r="F19" s="95">
        <v>121</v>
      </c>
      <c r="G19" s="100">
        <f>0.00000000000000399*$B$34</f>
        <v>3.9899999999999998E-15</v>
      </c>
      <c r="H19" s="100">
        <f>0.0000000000000155*$B$34</f>
        <v>1.55E-14</v>
      </c>
      <c r="I19" s="100">
        <f>0.0000000000000837*$B$34</f>
        <v>8.3699999999999999E-14</v>
      </c>
      <c r="J19" s="100"/>
      <c r="K19" s="95">
        <f t="array" ref="K19:L19">LOGEST(F19:F20,E19:E20)</f>
        <v>1.0044396118292633</v>
      </c>
      <c r="L19" s="119">
        <v>4.3642710536346394</v>
      </c>
      <c r="M19" s="120">
        <f t="array" ref="M19:N19">LOGEST(G19:G20,E19:E20)</f>
        <v>0.99404575792898242</v>
      </c>
      <c r="N19" s="100">
        <v>3.5171481740108943E-13</v>
      </c>
      <c r="O19" s="100">
        <f t="array" ref="O19:P19">LOGEST(H19:H20,E19:E20)</f>
        <v>0.99052602759281694</v>
      </c>
      <c r="P19" s="100">
        <v>1.9539473795978207E-11</v>
      </c>
      <c r="Q19" s="95">
        <f t="array" ref="Q19:R19">LOGEST(I19:I20,E19:E20)</f>
        <v>0.98717643846556513</v>
      </c>
      <c r="R19" s="121">
        <v>1.3385651822102685E-9</v>
      </c>
      <c r="S19" s="100"/>
    </row>
    <row r="20" spans="1:23">
      <c r="A20" s="127" t="s">
        <v>229</v>
      </c>
      <c r="B20" s="95">
        <f>VLOOKUP('Chemical Propulsion - Sizing'!H8,Constants!K29:V39,8,FALSE)</f>
        <v>1.0826359000000001E-3</v>
      </c>
      <c r="C20" s="99"/>
      <c r="E20" s="118">
        <v>800</v>
      </c>
      <c r="F20" s="95">
        <v>151</v>
      </c>
      <c r="G20" s="100">
        <f>0.00000000000000296*$B$34</f>
        <v>2.96E-15</v>
      </c>
      <c r="H20" s="100">
        <f>0.00000000000000963*$B$34</f>
        <v>9.6300000000000007E-15</v>
      </c>
      <c r="I20" s="100">
        <f>0.0000000000000439*$B$34</f>
        <v>4.3900000000000001E-14</v>
      </c>
      <c r="J20" s="100"/>
      <c r="K20" s="95">
        <f t="array" ref="K20:L20">LOGEST(F20:F21,E20:E21)</f>
        <v>1.0043928629789283</v>
      </c>
      <c r="L20" s="119">
        <v>4.5298363842453391</v>
      </c>
      <c r="M20" s="120">
        <f t="array" ref="M20:N20">LOGEST(G20:G21,E20:E21)</f>
        <v>0.99479332545704979</v>
      </c>
      <c r="N20" s="100">
        <v>1.9275317303929872E-13</v>
      </c>
      <c r="O20" s="100">
        <f t="array" ref="O20:P20">LOGEST(H20:H21,E20:E21)</f>
        <v>0.99207740813652334</v>
      </c>
      <c r="P20" s="100">
        <v>5.5869963858069021E-12</v>
      </c>
      <c r="Q20" s="95">
        <f t="array" ref="Q20:R20">LOGEST(I20:I21,E20:E21)</f>
        <v>0.99241457687135637</v>
      </c>
      <c r="R20" s="121">
        <v>1.9406926837156084E-11</v>
      </c>
      <c r="S20" s="100"/>
    </row>
    <row r="21" spans="1:23">
      <c r="A21" s="127" t="s">
        <v>230</v>
      </c>
      <c r="B21" s="128">
        <v>-3.3800000000000002E-3</v>
      </c>
      <c r="C21" s="99"/>
      <c r="E21" s="118">
        <v>850</v>
      </c>
      <c r="F21" s="95">
        <v>188</v>
      </c>
      <c r="G21" s="100">
        <f>0.00000000000000228*$B$34</f>
        <v>2.28E-15</v>
      </c>
      <c r="H21" s="100">
        <f>0.00000000000000647*$B$34</f>
        <v>6.4699999999999998E-15</v>
      </c>
      <c r="I21" s="100">
        <f>0.00000000000003*$B$34</f>
        <v>2.9999999999999998E-14</v>
      </c>
      <c r="J21" s="100"/>
      <c r="K21" s="95">
        <f t="array" ref="K21:L21">LOGEST(F21:F22,E21:E22)</f>
        <v>1.0036886471043338</v>
      </c>
      <c r="L21" s="119">
        <v>8.2223852494748488</v>
      </c>
      <c r="M21" s="120">
        <f t="array" ref="M21:N21">LOGEST(G21:G22,E21:E22)</f>
        <v>0.99528338277796058</v>
      </c>
      <c r="N21" s="100">
        <v>1.2682201794880647E-13</v>
      </c>
      <c r="O21" s="100">
        <f t="array" ref="O21:P21">LOGEST(H21:H22,E21:E22)</f>
        <v>0.99345827763426942</v>
      </c>
      <c r="P21" s="100">
        <v>1.7128387056351139E-12</v>
      </c>
      <c r="Q21" s="95">
        <f t="array" ref="Q21:R21">LOGEST(I21:I22,E21:E22)</f>
        <v>0.99101046870177212</v>
      </c>
      <c r="R21" s="121">
        <v>6.4656968987765573E-11</v>
      </c>
      <c r="S21" s="100"/>
    </row>
    <row r="22" spans="1:23">
      <c r="A22" s="127" t="s">
        <v>231</v>
      </c>
      <c r="B22" s="128">
        <v>-1.5399999999999999E-3</v>
      </c>
      <c r="C22" s="99"/>
      <c r="E22" s="118">
        <v>900</v>
      </c>
      <c r="F22" s="95">
        <v>226</v>
      </c>
      <c r="G22" s="100">
        <f>0.0000000000000018*$B$34</f>
        <v>1.8000000000000001E-15</v>
      </c>
      <c r="H22" s="100">
        <f>0.00000000000000466*$B$34</f>
        <v>4.66E-15</v>
      </c>
      <c r="I22" s="100">
        <f>0.0000000000000191*$B$34</f>
        <v>1.9099999999999999E-14</v>
      </c>
      <c r="J22" s="100"/>
      <c r="K22" s="95">
        <f t="array" ref="K22:L22">LOGEST(F22:F23,E22:E23)</f>
        <v>1.003036982975154</v>
      </c>
      <c r="L22" s="119">
        <v>14.75220269622452</v>
      </c>
      <c r="M22" s="120">
        <f t="array" ref="M22:N22">LOGEST(G22:G23,E22:E23)</f>
        <v>0.9955470727844663</v>
      </c>
      <c r="N22" s="100">
        <v>9.9920072216262486E-14</v>
      </c>
      <c r="O22" s="100">
        <f t="array" ref="O22:P22">LOGEST(H22:H23,E22:E23)</f>
        <v>0.99451731068445393</v>
      </c>
      <c r="P22" s="100">
        <v>6.5655891186421452E-13</v>
      </c>
      <c r="Q22" s="95">
        <f t="array" ref="Q22:R22">LOGEST(I22:I23,E22:E23)</f>
        <v>0.9918714896313483</v>
      </c>
      <c r="R22" s="121">
        <v>2.9591501382697513E-11</v>
      </c>
      <c r="S22" s="100"/>
    </row>
    <row r="23" spans="1:23">
      <c r="A23" s="127" t="s">
        <v>232</v>
      </c>
      <c r="B23" s="128">
        <v>1.6900000000000001E-3</v>
      </c>
      <c r="C23" s="99"/>
      <c r="E23" s="118">
        <v>950</v>
      </c>
      <c r="F23" s="95">
        <v>263</v>
      </c>
      <c r="G23" s="100">
        <f>0.00000000000000144*$B$34</f>
        <v>1.4399999999999999E-15</v>
      </c>
      <c r="H23" s="100">
        <f>0.00000000000000354*$B$34</f>
        <v>3.5399999999999999E-15</v>
      </c>
      <c r="I23" s="100">
        <f>0.0000000000000127*$B$34</f>
        <v>1.27E-14</v>
      </c>
      <c r="J23" s="100"/>
      <c r="K23" s="95">
        <f t="array" ref="K23:L23">LOGEST(F23:F24,E23:E24)</f>
        <v>1.0023669051507635</v>
      </c>
      <c r="L23" s="119">
        <v>27.833797269029549</v>
      </c>
      <c r="M23" s="120">
        <f t="array" ref="M23:N23">LOGEST(G23:G24,E23:E24)</f>
        <v>0.99585582360173075</v>
      </c>
      <c r="N23" s="100">
        <v>7.442493580643573E-14</v>
      </c>
      <c r="O23" s="100">
        <f t="array" ref="O23:P23">LOGEST(H23:H24,E23:E24)</f>
        <v>0.99524961630677777</v>
      </c>
      <c r="P23" s="100">
        <v>3.2627618699970499E-13</v>
      </c>
      <c r="Q23" s="95">
        <f t="array" ref="Q23:R23">LOGEST(I23:I24,E23:E24)</f>
        <v>0.99277988881129975</v>
      </c>
      <c r="R23" s="121">
        <v>1.2401704637977268E-11</v>
      </c>
      <c r="S23" s="100"/>
    </row>
    <row r="24" spans="1:23">
      <c r="A24" s="127" t="s">
        <v>233</v>
      </c>
      <c r="B24" s="128">
        <v>7.6999999999999996E-4</v>
      </c>
      <c r="C24" s="99"/>
      <c r="E24" s="118">
        <v>1000</v>
      </c>
      <c r="F24" s="95">
        <v>296</v>
      </c>
      <c r="G24" s="100">
        <f>0.00000000000000117*$B$34</f>
        <v>1.1700000000000001E-15</v>
      </c>
      <c r="H24" s="100">
        <f>0.00000000000000279*$B$34</f>
        <v>2.79E-15</v>
      </c>
      <c r="I24" s="100">
        <f>0.00000000000000884*$B$34</f>
        <v>8.8400000000000001E-15</v>
      </c>
      <c r="J24" s="100"/>
      <c r="K24" s="95">
        <f t="array" ref="K24:L24">LOGEST(F24:F25,E24:E25)</f>
        <v>1.0012844550870601</v>
      </c>
      <c r="L24" s="119">
        <v>82.000764796197444</v>
      </c>
      <c r="M24" s="120">
        <f t="array" ref="M24:N24">LOGEST(G24:G25,E24:E25)</f>
        <v>0.99633302076948493</v>
      </c>
      <c r="N24" s="100">
        <v>4.609584562287006E-14</v>
      </c>
      <c r="O24" s="100">
        <f t="array" ref="O24:P24">LOGEST(H24:H25,E24:E25)</f>
        <v>0.99632006130950868</v>
      </c>
      <c r="P24" s="100">
        <v>1.1135996896211084E-13</v>
      </c>
      <c r="Q24" s="95">
        <f t="array" ref="Q24:R24">LOGEST(I24:I25,E24:E25)</f>
        <v>0.99510152086947978</v>
      </c>
      <c r="R24" s="121">
        <v>1.1996712985778447E-12</v>
      </c>
      <c r="S24" s="100"/>
    </row>
    <row r="25" spans="1:23">
      <c r="A25" s="127" t="s">
        <v>234</v>
      </c>
      <c r="B25" s="129">
        <f>23+56/60+4/3600</f>
        <v>23.934444444444445</v>
      </c>
      <c r="C25" s="99" t="s">
        <v>223</v>
      </c>
      <c r="E25" s="118">
        <v>1250</v>
      </c>
      <c r="F25" s="95">
        <v>408</v>
      </c>
      <c r="G25" s="100">
        <f>0.000000000000000467*$B$34</f>
        <v>4.67E-16</v>
      </c>
      <c r="H25" s="100">
        <f>0.00000000000000111*$B$34</f>
        <v>1.1100000000000001E-15</v>
      </c>
      <c r="I25" s="100">
        <f>0.00000000000000259*$B$34</f>
        <v>2.5899999999999999E-15</v>
      </c>
      <c r="J25" s="100"/>
      <c r="K25" s="95">
        <f t="array" ref="K25:L25">LOGEST(F25:F26,E25:E26)</f>
        <v>1.0009397996995577</v>
      </c>
      <c r="L25" s="119">
        <v>126.09924038172402</v>
      </c>
      <c r="M25" s="120">
        <f t="array" ref="M25:N25">LOGEST(G25:G26,E25:E26)</f>
        <v>0.99717100936206238</v>
      </c>
      <c r="N25" s="100">
        <v>1.6116179776371475E-14</v>
      </c>
      <c r="O25" s="100">
        <f t="array" ref="O25:P25">LOGEST(H25:H26,E25:E26)</f>
        <v>0.99697911108488935</v>
      </c>
      <c r="P25" s="100">
        <v>4.8724709243963904E-14</v>
      </c>
      <c r="Q25" s="95">
        <f t="array" ref="Q25:R25">LOGEST(I25:I26,E25:E26)</f>
        <v>0.99699330113208129</v>
      </c>
      <c r="R25" s="121">
        <v>1.1168617847923854E-13</v>
      </c>
      <c r="S25" s="100"/>
    </row>
    <row r="26" spans="1:23" ht="15" thickBot="1">
      <c r="A26" s="127" t="s">
        <v>235</v>
      </c>
      <c r="B26" s="129">
        <f>VLOOKUP('Chemical Propulsion - Sizing'!H8,Constants!K29:V39,9,FALSE)</f>
        <v>24</v>
      </c>
      <c r="C26" s="99" t="s">
        <v>223</v>
      </c>
      <c r="E26" s="133">
        <v>1500</v>
      </c>
      <c r="F26" s="134">
        <v>516</v>
      </c>
      <c r="G26" s="135">
        <f>0.00000000000000023*$B$34</f>
        <v>2.2999999999999999E-16</v>
      </c>
      <c r="H26" s="135">
        <f>0.000000000000000521*$B$34</f>
        <v>5.2099999999999999E-16</v>
      </c>
      <c r="I26" s="135">
        <f>0.00000000000000122*$B$34</f>
        <v>1.2199999999999999E-15</v>
      </c>
      <c r="J26" s="135"/>
      <c r="K26" s="134"/>
      <c r="L26" s="136"/>
      <c r="M26" s="137"/>
      <c r="N26" s="135"/>
      <c r="O26" s="135"/>
      <c r="P26" s="135"/>
      <c r="Q26" s="134"/>
      <c r="R26" s="136"/>
      <c r="S26" s="100"/>
    </row>
    <row r="27" spans="1:23">
      <c r="A27" s="97" t="s">
        <v>236</v>
      </c>
      <c r="B27" s="138">
        <f>2*PI()*Planet_Radius/24/60/60*1000</f>
        <v>463.8312116386399</v>
      </c>
      <c r="C27" s="99" t="s">
        <v>10</v>
      </c>
      <c r="M27" s="139"/>
      <c r="N27" s="139"/>
      <c r="O27" s="139"/>
      <c r="P27" s="139"/>
    </row>
    <row r="28" spans="1:23" ht="15" thickBot="1">
      <c r="A28" s="97" t="s">
        <v>237</v>
      </c>
      <c r="B28" s="140">
        <f>VLOOKUP('Chemical Propulsion - Sizing'!H8,Constants!K29:V39,12,FALSE)</f>
        <v>7960000000000000</v>
      </c>
      <c r="C28" s="99" t="s">
        <v>106</v>
      </c>
      <c r="M28" s="139"/>
      <c r="N28" s="139"/>
      <c r="O28" s="139"/>
      <c r="P28" s="139"/>
    </row>
    <row r="29" spans="1:23" ht="15" thickTop="1">
      <c r="A29" s="127" t="s">
        <v>238</v>
      </c>
      <c r="B29" s="141">
        <f>VLOOKUP('Chemical Propulsion - Sizing'!H8,Constants!K29:V39,3,FALSE)</f>
        <v>258</v>
      </c>
      <c r="C29" s="99" t="s">
        <v>107</v>
      </c>
      <c r="E29" s="416" t="s">
        <v>239</v>
      </c>
      <c r="F29" s="416"/>
      <c r="G29" s="416"/>
      <c r="H29" s="102"/>
      <c r="I29" s="142"/>
      <c r="K29" s="143" t="s">
        <v>240</v>
      </c>
      <c r="L29" s="144" t="s">
        <v>241</v>
      </c>
      <c r="M29" s="144" t="s">
        <v>242</v>
      </c>
      <c r="N29" s="144" t="s">
        <v>243</v>
      </c>
      <c r="O29" s="144" t="s">
        <v>244</v>
      </c>
      <c r="P29" s="144" t="s">
        <v>245</v>
      </c>
      <c r="Q29" s="144" t="s">
        <v>246</v>
      </c>
      <c r="R29" s="144" t="s">
        <v>247</v>
      </c>
      <c r="S29" s="144" t="s">
        <v>248</v>
      </c>
      <c r="T29" s="144" t="s">
        <v>249</v>
      </c>
      <c r="U29" s="102" t="s">
        <v>225</v>
      </c>
      <c r="V29" s="145" t="s">
        <v>250</v>
      </c>
      <c r="W29" s="146" t="s">
        <v>251</v>
      </c>
    </row>
    <row r="30" spans="1:23">
      <c r="A30" s="127" t="s">
        <v>252</v>
      </c>
      <c r="B30" s="141">
        <f>VLOOKUP('Chemical Propulsion - Sizing'!H8,Constants!K29:V39,4,FALSE)</f>
        <v>216</v>
      </c>
      <c r="C30" s="99" t="s">
        <v>107</v>
      </c>
      <c r="E30" s="118"/>
      <c r="F30" s="117" t="s">
        <v>110</v>
      </c>
      <c r="I30" s="99" t="s">
        <v>110</v>
      </c>
      <c r="K30" s="147" t="s">
        <v>253</v>
      </c>
      <c r="L30" s="117">
        <v>0.3871</v>
      </c>
      <c r="M30" s="117"/>
      <c r="N30" s="117"/>
      <c r="O30" s="117">
        <v>0.14199999999999999</v>
      </c>
      <c r="P30" s="117">
        <v>22032.1</v>
      </c>
      <c r="Q30" s="117">
        <v>2439.6999999999998</v>
      </c>
      <c r="R30" s="117">
        <f>0.00006</f>
        <v>6.0000000000000002E-5</v>
      </c>
      <c r="S30" s="95">
        <v>1408</v>
      </c>
      <c r="T30" s="117">
        <v>87.968999999999994</v>
      </c>
      <c r="U30" s="95">
        <v>57909999.928000003</v>
      </c>
      <c r="V30" s="100">
        <v>0</v>
      </c>
      <c r="W30" s="148"/>
    </row>
    <row r="31" spans="1:23">
      <c r="A31" s="127" t="s">
        <v>254</v>
      </c>
      <c r="B31" s="98">
        <v>1418</v>
      </c>
      <c r="C31" s="99" t="s">
        <v>107</v>
      </c>
      <c r="E31" s="118"/>
      <c r="F31" s="117" t="s">
        <v>111</v>
      </c>
      <c r="I31" s="99" t="s">
        <v>111</v>
      </c>
      <c r="K31" s="147" t="s">
        <v>255</v>
      </c>
      <c r="L31" s="117">
        <v>0.72330000000000005</v>
      </c>
      <c r="M31" s="117"/>
      <c r="N31" s="117"/>
      <c r="O31" s="117"/>
      <c r="P31" s="117">
        <v>324858.59169999999</v>
      </c>
      <c r="Q31" s="117">
        <v>6051.8</v>
      </c>
      <c r="R31" s="117">
        <v>4.4580000000000003E-6</v>
      </c>
      <c r="S31" s="95">
        <v>5832</v>
      </c>
      <c r="T31" s="117">
        <v>224.70099999999999</v>
      </c>
      <c r="U31" s="95">
        <v>108208969.704</v>
      </c>
      <c r="V31" s="100">
        <v>0</v>
      </c>
      <c r="W31" s="148"/>
    </row>
    <row r="32" spans="1:23">
      <c r="A32" s="127" t="s">
        <v>256</v>
      </c>
      <c r="B32" s="149">
        <f>VLOOKUP('Chemical Propulsion - Sizing'!H8,Constants!K29:V39,5,FALSE)</f>
        <v>0.34</v>
      </c>
      <c r="C32" s="99"/>
      <c r="E32" s="118" t="s">
        <v>89</v>
      </c>
      <c r="F32" s="150">
        <v>0.26700000000000002</v>
      </c>
      <c r="H32" s="128" t="s">
        <v>112</v>
      </c>
      <c r="I32" s="151">
        <v>7.4999999999999997E-2</v>
      </c>
      <c r="K32" s="147" t="s">
        <v>257</v>
      </c>
      <c r="L32" s="117">
        <v>1</v>
      </c>
      <c r="M32" s="117">
        <v>258</v>
      </c>
      <c r="N32" s="117">
        <v>216</v>
      </c>
      <c r="O32" s="117">
        <v>0.34</v>
      </c>
      <c r="P32" s="117">
        <v>398600.44179999997</v>
      </c>
      <c r="Q32" s="117">
        <v>6378.1369999999997</v>
      </c>
      <c r="R32" s="117">
        <v>1.0826359000000001E-3</v>
      </c>
      <c r="S32" s="95">
        <v>24</v>
      </c>
      <c r="T32" s="117">
        <v>365.25599999999997</v>
      </c>
      <c r="U32" s="95">
        <v>149600016.456</v>
      </c>
      <c r="V32" s="140">
        <v>7960000000000000</v>
      </c>
      <c r="W32" s="148">
        <v>1</v>
      </c>
    </row>
    <row r="33" spans="1:33">
      <c r="A33" s="97" t="s">
        <v>258</v>
      </c>
      <c r="B33" s="98">
        <v>1367</v>
      </c>
      <c r="C33" s="99" t="s">
        <v>107</v>
      </c>
      <c r="E33" s="118" t="s">
        <v>113</v>
      </c>
      <c r="F33" s="150">
        <v>0.217</v>
      </c>
      <c r="H33" s="128" t="s">
        <v>0</v>
      </c>
      <c r="I33" s="151">
        <v>0.08</v>
      </c>
      <c r="K33" s="147" t="s">
        <v>259</v>
      </c>
      <c r="L33" s="117">
        <v>1</v>
      </c>
      <c r="M33" s="117">
        <v>1226</v>
      </c>
      <c r="N33" s="117">
        <v>5.2</v>
      </c>
      <c r="O33" s="117">
        <v>7.2999999999999995E-2</v>
      </c>
      <c r="P33" s="117">
        <v>4902</v>
      </c>
      <c r="Q33" s="117">
        <v>1737</v>
      </c>
      <c r="R33" s="117">
        <v>2.0269999999999999E-4</v>
      </c>
      <c r="S33" s="95">
        <f>27*S32</f>
        <v>648</v>
      </c>
      <c r="T33" s="117">
        <f>655.728/24</f>
        <v>27.321999999999999</v>
      </c>
      <c r="U33" s="95">
        <v>149600000</v>
      </c>
      <c r="V33" s="100">
        <v>0</v>
      </c>
      <c r="W33" s="148">
        <v>1.0000000000000001E-43</v>
      </c>
    </row>
    <row r="34" spans="1:33" ht="15" thickBot="1">
      <c r="A34" s="130" t="s">
        <v>260</v>
      </c>
      <c r="B34" s="152">
        <f>VLOOKUP('Chemical Propulsion - Sizing'!H8,Constants!K29:W39,13,FALSE)</f>
        <v>1</v>
      </c>
      <c r="C34" s="132"/>
      <c r="E34" s="153" t="s">
        <v>114</v>
      </c>
      <c r="F34" s="150">
        <v>3.4000000000000002E-2</v>
      </c>
      <c r="H34" s="128" t="s">
        <v>86</v>
      </c>
      <c r="I34" s="151">
        <v>3.6999999999999998E-2</v>
      </c>
      <c r="K34" s="147" t="s">
        <v>261</v>
      </c>
      <c r="L34" s="117">
        <v>1.524</v>
      </c>
      <c r="M34" s="117">
        <v>390</v>
      </c>
      <c r="N34" s="117">
        <v>30</v>
      </c>
      <c r="O34" s="117">
        <v>0.28999999999999998</v>
      </c>
      <c r="P34" s="117">
        <v>42828</v>
      </c>
      <c r="Q34" s="117">
        <v>3390</v>
      </c>
      <c r="R34" s="117">
        <v>1.9604499999999999E-3</v>
      </c>
      <c r="S34" s="95">
        <v>25</v>
      </c>
      <c r="T34" s="117">
        <v>686.98</v>
      </c>
      <c r="U34" s="95">
        <v>227939881.57600001</v>
      </c>
      <c r="V34" s="95">
        <v>0</v>
      </c>
      <c r="W34" s="148">
        <v>0.1</v>
      </c>
    </row>
    <row r="35" spans="1:33" ht="15" thickBot="1">
      <c r="E35" s="154" t="s">
        <v>88</v>
      </c>
      <c r="F35" s="155">
        <v>0.27900000000000003</v>
      </c>
      <c r="G35" s="134"/>
      <c r="H35" s="134"/>
      <c r="I35" s="136"/>
      <c r="K35" s="147" t="s">
        <v>262</v>
      </c>
      <c r="L35" s="117">
        <v>5.2</v>
      </c>
      <c r="M35" s="117"/>
      <c r="N35" s="117"/>
      <c r="O35" s="117"/>
      <c r="P35" s="117">
        <v>126712762.59999999</v>
      </c>
      <c r="Q35" s="117">
        <v>71492</v>
      </c>
      <c r="R35" s="117">
        <v>1.4736000000000001E-2</v>
      </c>
      <c r="S35" s="95">
        <v>10</v>
      </c>
      <c r="T35" s="117">
        <v>4332.5889999999999</v>
      </c>
      <c r="U35" s="95">
        <v>778423106.296</v>
      </c>
      <c r="V35" s="95">
        <v>0</v>
      </c>
      <c r="W35" s="148">
        <v>0</v>
      </c>
    </row>
    <row r="36" spans="1:33" ht="15" thickBot="1">
      <c r="K36" s="147" t="s">
        <v>263</v>
      </c>
      <c r="L36" s="117">
        <v>9.5399999999999991</v>
      </c>
      <c r="M36" s="117"/>
      <c r="N36" s="117"/>
      <c r="O36" s="117"/>
      <c r="P36" s="117">
        <v>37940584.899999999</v>
      </c>
      <c r="Q36" s="117">
        <v>60268</v>
      </c>
      <c r="R36" s="117">
        <v>1.6298E-2</v>
      </c>
      <c r="S36" s="95">
        <v>11</v>
      </c>
      <c r="T36" s="117">
        <v>10759.22</v>
      </c>
      <c r="U36" s="95">
        <v>1426745719.872</v>
      </c>
      <c r="V36" s="95">
        <v>0</v>
      </c>
      <c r="W36" s="148">
        <v>0</v>
      </c>
    </row>
    <row r="37" spans="1:33" ht="15" thickBot="1">
      <c r="A37" s="156" t="s">
        <v>108</v>
      </c>
      <c r="B37" s="123">
        <v>290</v>
      </c>
      <c r="C37" s="124" t="s">
        <v>41</v>
      </c>
      <c r="K37" s="147" t="s">
        <v>264</v>
      </c>
      <c r="L37" s="117">
        <v>19.18</v>
      </c>
      <c r="M37" s="117"/>
      <c r="N37" s="117"/>
      <c r="O37" s="117"/>
      <c r="P37" s="117">
        <v>5794549</v>
      </c>
      <c r="Q37" s="117">
        <v>25559</v>
      </c>
      <c r="R37" s="117">
        <v>3.3434300000000001E-3</v>
      </c>
      <c r="S37" s="95">
        <v>17</v>
      </c>
      <c r="T37" s="117">
        <v>30685.4</v>
      </c>
      <c r="U37" s="95">
        <v>2871013083.9280005</v>
      </c>
      <c r="V37" s="95">
        <v>0</v>
      </c>
      <c r="W37" s="148">
        <v>0</v>
      </c>
    </row>
    <row r="38" spans="1:33" ht="15" thickBot="1">
      <c r="E38" s="416" t="s">
        <v>265</v>
      </c>
      <c r="F38" s="416"/>
      <c r="G38" s="142"/>
      <c r="K38" s="147" t="s">
        <v>266</v>
      </c>
      <c r="L38" s="117">
        <v>30.06</v>
      </c>
      <c r="M38" s="117"/>
      <c r="N38" s="117"/>
      <c r="O38" s="117"/>
      <c r="P38" s="117">
        <v>6836527</v>
      </c>
      <c r="Q38" s="117">
        <v>24764</v>
      </c>
      <c r="R38" s="117">
        <v>3.411E-3</v>
      </c>
      <c r="S38" s="95">
        <v>16</v>
      </c>
      <c r="T38" s="117">
        <v>60189</v>
      </c>
      <c r="U38" s="95">
        <v>4498316936.6079998</v>
      </c>
      <c r="V38" s="95">
        <v>0</v>
      </c>
      <c r="W38" s="148">
        <v>0</v>
      </c>
    </row>
    <row r="39" spans="1:33" ht="15" thickBot="1">
      <c r="A39" s="156" t="s">
        <v>109</v>
      </c>
      <c r="B39" s="123">
        <f>0.3048/12</f>
        <v>2.5400000000000002E-2</v>
      </c>
      <c r="C39" s="124" t="s">
        <v>60</v>
      </c>
      <c r="E39" s="118"/>
      <c r="F39" s="157" t="s">
        <v>115</v>
      </c>
      <c r="G39" s="116"/>
      <c r="K39" s="158" t="s">
        <v>267</v>
      </c>
      <c r="L39" s="159">
        <v>39.44</v>
      </c>
      <c r="M39" s="159"/>
      <c r="N39" s="159"/>
      <c r="O39" s="159"/>
      <c r="P39" s="159">
        <v>971.78</v>
      </c>
      <c r="Q39" s="159">
        <v>1195</v>
      </c>
      <c r="R39" s="159"/>
      <c r="S39" s="134"/>
      <c r="T39" s="159"/>
      <c r="U39" s="134">
        <v>5906460340.7920008</v>
      </c>
      <c r="V39" s="160">
        <v>0</v>
      </c>
      <c r="W39" s="161">
        <v>0</v>
      </c>
    </row>
    <row r="40" spans="1:33" ht="15" thickBot="1">
      <c r="A40" s="156" t="s">
        <v>268</v>
      </c>
      <c r="B40" s="162">
        <v>57.2958</v>
      </c>
      <c r="C40" s="163" t="s">
        <v>53</v>
      </c>
      <c r="E40" s="118"/>
      <c r="F40" s="117" t="s">
        <v>102</v>
      </c>
      <c r="G40" s="99" t="s">
        <v>104</v>
      </c>
    </row>
    <row r="41" spans="1:33">
      <c r="E41" s="118" t="s">
        <v>89</v>
      </c>
      <c r="F41" s="150">
        <v>0.2</v>
      </c>
      <c r="G41" s="151">
        <v>0.8</v>
      </c>
    </row>
    <row r="42" spans="1:33">
      <c r="E42" s="118" t="s">
        <v>86</v>
      </c>
      <c r="F42" s="150">
        <v>0.01</v>
      </c>
      <c r="G42" s="151">
        <v>0.05</v>
      </c>
      <c r="T42" s="139"/>
      <c r="U42" s="100"/>
    </row>
    <row r="43" spans="1:33">
      <c r="E43" s="118" t="s">
        <v>116</v>
      </c>
      <c r="F43" s="150">
        <v>0.05</v>
      </c>
      <c r="G43" s="151">
        <v>0.15</v>
      </c>
      <c r="M43" s="139"/>
      <c r="N43" s="139"/>
      <c r="O43" s="139"/>
      <c r="P43" s="139"/>
      <c r="T43" s="139"/>
      <c r="U43" s="100"/>
    </row>
    <row r="44" spans="1:33" ht="15" thickBot="1">
      <c r="E44" s="153" t="s">
        <v>87</v>
      </c>
      <c r="F44" s="164">
        <v>0.04</v>
      </c>
      <c r="G44" s="165">
        <v>0.15</v>
      </c>
      <c r="M44" s="139"/>
      <c r="N44" s="139"/>
      <c r="O44" s="139"/>
      <c r="P44" s="139"/>
      <c r="T44" s="139"/>
      <c r="U44" s="100"/>
    </row>
    <row r="45" spans="1:33" ht="15" thickBot="1">
      <c r="E45" s="153" t="s">
        <v>117</v>
      </c>
      <c r="F45" s="164">
        <v>0.04</v>
      </c>
      <c r="G45" s="165">
        <v>0.1</v>
      </c>
      <c r="M45" s="139"/>
      <c r="N45" s="139"/>
      <c r="O45" s="139"/>
      <c r="P45" s="139"/>
      <c r="R45" s="417" t="s">
        <v>269</v>
      </c>
      <c r="S45" s="409" t="s">
        <v>270</v>
      </c>
      <c r="T45" s="409" t="s">
        <v>271</v>
      </c>
      <c r="U45" s="409" t="s">
        <v>272</v>
      </c>
      <c r="V45" s="409" t="s">
        <v>273</v>
      </c>
      <c r="W45" s="409" t="s">
        <v>274</v>
      </c>
      <c r="X45" s="411" t="s">
        <v>275</v>
      </c>
      <c r="Y45" s="412"/>
      <c r="Z45" s="411" t="s">
        <v>276</v>
      </c>
      <c r="AA45" s="413"/>
      <c r="AE45" s="166"/>
      <c r="AF45" s="167" t="s">
        <v>277</v>
      </c>
      <c r="AG45" s="168"/>
    </row>
    <row r="46" spans="1:33" ht="84.75" thickBot="1">
      <c r="E46" s="153" t="s">
        <v>114</v>
      </c>
      <c r="F46" s="164">
        <v>0.01</v>
      </c>
      <c r="G46" s="165">
        <v>0.05</v>
      </c>
      <c r="M46" s="139"/>
      <c r="N46" s="139"/>
      <c r="O46" s="139"/>
      <c r="P46" s="139"/>
      <c r="R46" s="418"/>
      <c r="S46" s="410"/>
      <c r="T46" s="410"/>
      <c r="U46" s="410"/>
      <c r="V46" s="410"/>
      <c r="W46" s="410"/>
      <c r="X46" s="169" t="s">
        <v>278</v>
      </c>
      <c r="Y46" s="169" t="s">
        <v>279</v>
      </c>
      <c r="Z46" s="169" t="s">
        <v>278</v>
      </c>
      <c r="AA46" s="170" t="s">
        <v>279</v>
      </c>
      <c r="AE46" s="171" t="s">
        <v>280</v>
      </c>
      <c r="AF46" s="172">
        <v>86400</v>
      </c>
      <c r="AG46" s="173" t="s">
        <v>281</v>
      </c>
    </row>
    <row r="47" spans="1:33">
      <c r="E47" s="153" t="s">
        <v>88</v>
      </c>
      <c r="F47" s="150">
        <v>0.05</v>
      </c>
      <c r="G47" s="151">
        <v>0.3</v>
      </c>
      <c r="M47" s="139"/>
      <c r="N47" s="139"/>
      <c r="O47" s="139"/>
      <c r="P47" s="139"/>
      <c r="R47" s="174" t="s">
        <v>253</v>
      </c>
      <c r="S47" s="175">
        <v>0.38709893000000001</v>
      </c>
      <c r="T47" s="176">
        <f>(2*PI()*SQRT((S47*Constants!$AF$47)^3/Constants!$AF$48))/(Constants!$AF$46)</f>
        <v>87.969350032590356</v>
      </c>
      <c r="U47" s="177">
        <f>1/ABS(1/$T$49-1/T47)</f>
        <v>115.87758071508175</v>
      </c>
      <c r="V47" s="176">
        <f>(PI()*SQRT(((S47*Constants!$AF$47+$S$49*Constants!$AF$47)/2)^3/Constants!$AF$48))/(Constants!$AF$46)</f>
        <v>105.48352743700951</v>
      </c>
      <c r="W47" s="178">
        <v>36934</v>
      </c>
      <c r="X47" s="176">
        <f>-(180-V47*(360/T47))/((360/$T$49)-(360/T47))</f>
        <v>-81.009331461765981</v>
      </c>
      <c r="Y47" s="176">
        <f>(180-V47*(360/$T$49))/((360/T47)-(360/$T$49))</f>
        <v>24.474195975243532</v>
      </c>
      <c r="Z47" s="176">
        <f>-(180-V47*(360/$T$49))/((360/T47)-(360/$T$49))</f>
        <v>-24.474195975243532</v>
      </c>
      <c r="AA47" s="179">
        <f>(180-V47*(360/T47))/((360/$T$49)-(360/T47))</f>
        <v>81.009331461765981</v>
      </c>
      <c r="AE47" s="180" t="s">
        <v>282</v>
      </c>
      <c r="AF47" s="181">
        <v>149597870700</v>
      </c>
      <c r="AG47" s="173" t="s">
        <v>60</v>
      </c>
    </row>
    <row r="48" spans="1:33" ht="15" thickBot="1">
      <c r="E48" s="154" t="s">
        <v>113</v>
      </c>
      <c r="F48" s="182">
        <v>0</v>
      </c>
      <c r="G48" s="183">
        <v>0</v>
      </c>
      <c r="M48" s="139"/>
      <c r="N48" s="139"/>
      <c r="O48" s="139"/>
      <c r="P48" s="139"/>
      <c r="R48" s="174" t="s">
        <v>255</v>
      </c>
      <c r="S48" s="175">
        <v>0.72332198999999997</v>
      </c>
      <c r="T48" s="176">
        <f>(2*PI()*SQRT((S48*Constants!$AF$47)^3/Constants!$AF$48))/(Constants!$AF$46)</f>
        <v>224.69630437900872</v>
      </c>
      <c r="U48" s="177">
        <f>1/ABS(1/$T$49-1/T48)</f>
        <v>583.88949029003663</v>
      </c>
      <c r="V48" s="176">
        <f>(PI()*SQRT(((S48*Constants!$AF$47+$S$49*Constants!$AF$47)/2)^3/Constants!$AF$48))/(Constants!$AF$46)</f>
        <v>146.07406795499011</v>
      </c>
      <c r="W48" s="178">
        <v>36979</v>
      </c>
      <c r="X48" s="176">
        <f>-(180-V48*(360/T48))/((360/$T$49)-(360/T48))</f>
        <v>-87.639215163317331</v>
      </c>
      <c r="Y48" s="176">
        <f>(180-V48*(360/$T$49))/((360/T48)-(360/$T$49))</f>
        <v>58.434852791672817</v>
      </c>
      <c r="Z48" s="176">
        <f>-(180-V48*(360/$T$49))/((360/T48)-(360/$T$49))</f>
        <v>-58.434852791672817</v>
      </c>
      <c r="AA48" s="179">
        <f>(180-V48*(360/T48))/((360/$T$49)-(360/T48))</f>
        <v>87.639215163317331</v>
      </c>
      <c r="AE48" s="184" t="s">
        <v>283</v>
      </c>
      <c r="AF48" s="181">
        <v>1.3271244004099999E+20</v>
      </c>
      <c r="AG48" s="173" t="s">
        <v>284</v>
      </c>
    </row>
    <row r="49" spans="5:44">
      <c r="E49" s="128"/>
      <c r="M49" s="139"/>
      <c r="N49" s="139"/>
      <c r="O49" s="139"/>
      <c r="P49" s="139"/>
      <c r="R49" s="174" t="s">
        <v>257</v>
      </c>
      <c r="S49" s="175">
        <f>Constants!$AF$49</f>
        <v>1.00000011</v>
      </c>
      <c r="T49" s="176">
        <f>Constants!$AF$50</f>
        <v>365.25695859501076</v>
      </c>
      <c r="U49" s="177" t="s">
        <v>285</v>
      </c>
      <c r="V49" s="176" t="s">
        <v>285</v>
      </c>
      <c r="W49" s="178" t="s">
        <v>285</v>
      </c>
      <c r="X49" s="176" t="s">
        <v>285</v>
      </c>
      <c r="Y49" s="176" t="s">
        <v>285</v>
      </c>
      <c r="Z49" s="176" t="s">
        <v>285</v>
      </c>
      <c r="AA49" s="179" t="s">
        <v>285</v>
      </c>
      <c r="AE49" s="180" t="s">
        <v>286</v>
      </c>
      <c r="AF49" s="185">
        <v>1.00000011</v>
      </c>
      <c r="AG49" s="173" t="s">
        <v>241</v>
      </c>
    </row>
    <row r="50" spans="5:44" ht="15" thickBot="1">
      <c r="E50" s="128"/>
      <c r="M50" s="139"/>
      <c r="N50" s="139"/>
      <c r="O50" s="139"/>
      <c r="P50" s="139"/>
      <c r="R50" s="174" t="s">
        <v>261</v>
      </c>
      <c r="S50" s="175">
        <v>1.52366231</v>
      </c>
      <c r="T50" s="176">
        <f>(2*PI()*SQRT((S50*Constants!$AF$47)^3/Constants!$AF$48))/(Constants!$AF$46)</f>
        <v>686.96010146414244</v>
      </c>
      <c r="U50" s="177">
        <f t="shared" ref="U50:U58" si="0">1/ABS(1/$T$49-1/T50)</f>
        <v>779.96427109506135</v>
      </c>
      <c r="V50" s="176">
        <f>(PI()*SQRT(((S50*Constants!$AF$47+$S$49*Constants!$AF$47)/2)^3/Constants!$AF$48))/(Constants!$AF$46)</f>
        <v>258.86320786537374</v>
      </c>
      <c r="W50" s="178">
        <v>37055</v>
      </c>
      <c r="X50" s="176">
        <f t="shared" ref="X50:X58" si="1">-(180-V50*(360/T50))/((360/$T$49)-(360/T50))</f>
        <v>-96.072703535802034</v>
      </c>
      <c r="Y50" s="176">
        <f t="shared" ref="Y50:Y58" si="2">(180-V50*(360/$T$49))/((360/T50)-(360/$T$49))</f>
        <v>162.79050432957169</v>
      </c>
      <c r="Z50" s="176">
        <f t="shared" ref="Z50:Z58" si="3">-(180-V50*(360/$T$49))/((360/T50)-(360/$T$49))</f>
        <v>-162.79050432957169</v>
      </c>
      <c r="AA50" s="179">
        <f t="shared" ref="AA50:AA58" si="4">(180-V50*(360/T50))/((360/$T$49)-(360/T50))</f>
        <v>96.072703535802034</v>
      </c>
      <c r="AE50" s="186" t="s">
        <v>287</v>
      </c>
      <c r="AF50" s="187">
        <f>(2*PI()*SQRT((AF49*AF47)^3/AF48))/AF46</f>
        <v>365.25695859501076</v>
      </c>
      <c r="AG50" s="188" t="s">
        <v>26</v>
      </c>
    </row>
    <row r="51" spans="5:44">
      <c r="E51" s="414" t="s">
        <v>288</v>
      </c>
      <c r="F51" s="415"/>
      <c r="G51" s="102"/>
      <c r="H51" s="102"/>
      <c r="I51" s="102"/>
      <c r="J51" s="102"/>
      <c r="K51" s="102"/>
      <c r="L51" s="102"/>
      <c r="M51" s="189"/>
      <c r="N51" s="139"/>
      <c r="O51" s="139"/>
      <c r="P51" s="139"/>
      <c r="R51" s="174" t="s">
        <v>289</v>
      </c>
      <c r="S51" s="175">
        <v>2.3619373000000001</v>
      </c>
      <c r="T51" s="176">
        <f>(2*PI()*SQRT((S51*Constants!$AF$47)^3/Constants!$AF$48))/(Constants!$AF$46)</f>
        <v>1325.870090826832</v>
      </c>
      <c r="U51" s="177">
        <f t="shared" si="0"/>
        <v>504.13976305148924</v>
      </c>
      <c r="V51" s="176">
        <f>(PI()*SQRT(((S51*Constants!$AF$47+$S$49*Constants!$AF$47)/2)^3/Constants!$AF$48))/(Constants!$AF$46)</f>
        <v>398.02272932952252</v>
      </c>
      <c r="W51" s="178">
        <v>37229.789385077936</v>
      </c>
      <c r="X51" s="176">
        <f t="shared" si="1"/>
        <v>-100.72844480311778</v>
      </c>
      <c r="Y51" s="176">
        <f t="shared" si="2"/>
        <v>297.29428452640474</v>
      </c>
      <c r="Z51" s="176">
        <f t="shared" si="3"/>
        <v>-297.29428452640474</v>
      </c>
      <c r="AA51" s="179">
        <f t="shared" si="4"/>
        <v>100.72844480311778</v>
      </c>
    </row>
    <row r="52" spans="5:44">
      <c r="E52" s="118"/>
      <c r="K52" s="117" t="s">
        <v>118</v>
      </c>
      <c r="M52" s="121"/>
      <c r="N52" s="139"/>
      <c r="O52" s="139"/>
      <c r="P52" s="139"/>
      <c r="R52" s="174" t="s">
        <v>290</v>
      </c>
      <c r="S52" s="175">
        <v>2.7657232</v>
      </c>
      <c r="T52" s="176">
        <f>(2*PI()*SQRT((S52*Constants!$AF$47)^3/Constants!$AF$48))/(Constants!$AF$46)</f>
        <v>1680.0085655681798</v>
      </c>
      <c r="U52" s="177">
        <f t="shared" si="0"/>
        <v>466.73060965919996</v>
      </c>
      <c r="V52" s="176">
        <f>(PI()*SQRT(((S52*Constants!$AF$47+$S$49*Constants!$AF$47)/2)^3/Constants!$AF$48))/(Constants!$AF$46)</f>
        <v>471.84140424157761</v>
      </c>
      <c r="W52" s="178">
        <v>37068.853999999999</v>
      </c>
      <c r="X52" s="176">
        <f t="shared" si="1"/>
        <v>-102.28095753661755</v>
      </c>
      <c r="Y52" s="176">
        <f t="shared" si="2"/>
        <v>369.5604467049601</v>
      </c>
      <c r="Z52" s="176">
        <f t="shared" si="3"/>
        <v>-369.5604467049601</v>
      </c>
      <c r="AA52" s="179">
        <f t="shared" si="4"/>
        <v>102.28095753661755</v>
      </c>
    </row>
    <row r="53" spans="5:44">
      <c r="E53" s="118"/>
      <c r="F53" s="117" t="s">
        <v>119</v>
      </c>
      <c r="G53" s="117" t="s">
        <v>120</v>
      </c>
      <c r="H53" s="117" t="s">
        <v>121</v>
      </c>
      <c r="I53" s="190" t="s">
        <v>122</v>
      </c>
      <c r="K53" s="117" t="s">
        <v>123</v>
      </c>
      <c r="L53" s="117" t="s">
        <v>124</v>
      </c>
      <c r="M53" s="99" t="s">
        <v>125</v>
      </c>
      <c r="N53" s="139"/>
      <c r="O53" s="139"/>
      <c r="P53" s="139"/>
      <c r="R53" s="174" t="s">
        <v>262</v>
      </c>
      <c r="S53" s="175">
        <v>5.2033630100000003</v>
      </c>
      <c r="T53" s="176">
        <f>(2*PI()*SQRT((S53*Constants!$AF$47)^3/Constants!$AF$48))/(Constants!$AF$46)</f>
        <v>4335.3544947561722</v>
      </c>
      <c r="U53" s="177">
        <f t="shared" si="0"/>
        <v>398.86133344648584</v>
      </c>
      <c r="V53" s="176">
        <f>(PI()*SQRT(((S53*Constants!$AF$47+$S$49*Constants!$AF$47)/2)^3/Constants!$AF$48))/(Constants!$AF$46)</f>
        <v>997.61792386016691</v>
      </c>
      <c r="W53" s="178">
        <v>37257</v>
      </c>
      <c r="X53" s="176">
        <f t="shared" si="1"/>
        <v>-107.64781116615426</v>
      </c>
      <c r="Y53" s="176">
        <f t="shared" si="2"/>
        <v>889.97011269401264</v>
      </c>
      <c r="Z53" s="176">
        <f t="shared" si="3"/>
        <v>-889.97011269401264</v>
      </c>
      <c r="AA53" s="179">
        <f t="shared" si="4"/>
        <v>107.64781116615426</v>
      </c>
    </row>
    <row r="54" spans="5:44">
      <c r="E54" s="118"/>
      <c r="M54" s="121"/>
      <c r="N54" s="139"/>
      <c r="O54" s="139"/>
      <c r="P54" s="139"/>
      <c r="R54" s="174" t="s">
        <v>263</v>
      </c>
      <c r="S54" s="175">
        <v>9.5370703199999998</v>
      </c>
      <c r="T54" s="176">
        <f>(2*PI()*SQRT((S54*Constants!$AF$47)^3/Constants!$AF$48))/(Constants!$AF$46)</f>
        <v>10757.736541389115</v>
      </c>
      <c r="U54" s="177">
        <f t="shared" si="0"/>
        <v>378.09438057301077</v>
      </c>
      <c r="V54" s="176">
        <f>(PI()*SQRT(((S54*Constants!$AF$47+$S$49*Constants!$AF$47)/2)^3/Constants!$AF$48))/(Constants!$AF$46)</f>
        <v>2208.5297919799127</v>
      </c>
      <c r="W54" s="178">
        <v>37228</v>
      </c>
      <c r="X54" s="176">
        <f t="shared" si="1"/>
        <v>-111.42559205689675</v>
      </c>
      <c r="Y54" s="176">
        <f t="shared" si="2"/>
        <v>2097.104199923016</v>
      </c>
      <c r="Z54" s="176">
        <f t="shared" si="3"/>
        <v>-2097.104199923016</v>
      </c>
      <c r="AA54" s="179">
        <f t="shared" si="4"/>
        <v>111.42559205689675</v>
      </c>
    </row>
    <row r="55" spans="5:44">
      <c r="E55" s="118" t="s">
        <v>126</v>
      </c>
      <c r="F55" s="141">
        <v>2</v>
      </c>
      <c r="G55" s="141">
        <v>3.5</v>
      </c>
      <c r="H55" s="141">
        <v>2</v>
      </c>
      <c r="I55" s="191">
        <v>10</v>
      </c>
      <c r="K55" s="192">
        <v>0.5</v>
      </c>
      <c r="L55" s="141">
        <f>F55+(G55-F55)*K55</f>
        <v>2.75</v>
      </c>
      <c r="M55" s="193">
        <f>H55+(I55-H55)*K55</f>
        <v>6</v>
      </c>
      <c r="N55" s="139"/>
      <c r="O55" s="139"/>
      <c r="P55" s="139"/>
      <c r="R55" s="174" t="s">
        <v>264</v>
      </c>
      <c r="S55" s="175">
        <v>19.191263930000002</v>
      </c>
      <c r="T55" s="176">
        <f>(2*PI()*SQRT((S55*Constants!$AF$47)^3/Constants!$AF$48))/(Constants!$AF$46)</f>
        <v>30708.159954085699</v>
      </c>
      <c r="U55" s="177">
        <f t="shared" si="0"/>
        <v>369.65379056003087</v>
      </c>
      <c r="V55" s="176">
        <f>(PI()*SQRT(((S55*Constants!$AF$47+$S$49*Constants!$AF$47)/2)^3/Constants!$AF$48))/(Constants!$AF$46)</f>
        <v>5858.2607726300312</v>
      </c>
      <c r="W55" s="178">
        <v>37118</v>
      </c>
      <c r="X55" s="176">
        <f t="shared" si="1"/>
        <v>-114.30725802627941</v>
      </c>
      <c r="Y55" s="176">
        <f t="shared" si="2"/>
        <v>5743.9535146037515</v>
      </c>
      <c r="Z55" s="176">
        <f t="shared" si="3"/>
        <v>-5743.9535146037515</v>
      </c>
      <c r="AA55" s="179">
        <f t="shared" si="4"/>
        <v>114.30725802627941</v>
      </c>
    </row>
    <row r="56" spans="5:44">
      <c r="E56" s="118" t="s">
        <v>127</v>
      </c>
      <c r="F56" s="141">
        <v>0.2</v>
      </c>
      <c r="G56" s="141">
        <v>1</v>
      </c>
      <c r="H56" s="141">
        <v>0</v>
      </c>
      <c r="I56" s="191">
        <v>0.2</v>
      </c>
      <c r="K56" s="192">
        <v>0.5</v>
      </c>
      <c r="L56" s="141">
        <f>F56+(G56-F56)*K56</f>
        <v>0.60000000000000009</v>
      </c>
      <c r="M56" s="193">
        <f>H56+(I56-H56)*K56</f>
        <v>0.1</v>
      </c>
      <c r="N56" s="139"/>
      <c r="O56" s="139"/>
      <c r="P56" s="139"/>
      <c r="R56" s="174" t="s">
        <v>266</v>
      </c>
      <c r="S56" s="175">
        <v>30.068963480000001</v>
      </c>
      <c r="T56" s="176">
        <f>(2*PI()*SQRT((S56*Constants!$AF$47)^3/Constants!$AF$48))/(Constants!$AF$46)</f>
        <v>60224.903568795424</v>
      </c>
      <c r="U56" s="177">
        <f t="shared" si="0"/>
        <v>367.48571625325167</v>
      </c>
      <c r="V56" s="176">
        <f>(PI()*SQRT(((S56*Constants!$AF$47+$S$49*Constants!$AF$47)/2)^3/Constants!$AF$48))/(Constants!$AF$46)</f>
        <v>11181.848064979798</v>
      </c>
      <c r="W56" s="178">
        <v>37072</v>
      </c>
      <c r="X56" s="176">
        <f t="shared" si="1"/>
        <v>-115.51245505922701</v>
      </c>
      <c r="Y56" s="176">
        <f t="shared" si="2"/>
        <v>11066.335609920572</v>
      </c>
      <c r="Z56" s="176">
        <f t="shared" si="3"/>
        <v>-11066.335609920572</v>
      </c>
      <c r="AA56" s="179">
        <f t="shared" si="4"/>
        <v>115.51245505922701</v>
      </c>
    </row>
    <row r="57" spans="5:44">
      <c r="E57" s="118" t="s">
        <v>128</v>
      </c>
      <c r="F57" s="141">
        <v>5</v>
      </c>
      <c r="G57" s="141">
        <v>50</v>
      </c>
      <c r="H57" s="141">
        <v>2</v>
      </c>
      <c r="I57" s="191">
        <v>20</v>
      </c>
      <c r="K57" s="192">
        <v>0.5</v>
      </c>
      <c r="L57" s="141">
        <f>F57+(G57-F57)*K57</f>
        <v>27.5</v>
      </c>
      <c r="M57" s="193">
        <f>H57+(I57-H57)*K57</f>
        <v>11</v>
      </c>
      <c r="N57" s="139"/>
      <c r="O57" s="139"/>
      <c r="P57" s="139"/>
      <c r="R57" s="174" t="s">
        <v>291</v>
      </c>
      <c r="S57" s="175">
        <v>39.481686770000003</v>
      </c>
      <c r="T57" s="176">
        <f>(2*PI()*SQRT((S57*Constants!$AF$47)^3/Constants!$AF$48))/(Constants!$AF$46)</f>
        <v>90613.305813298706</v>
      </c>
      <c r="U57" s="177">
        <f t="shared" si="0"/>
        <v>366.73524701780946</v>
      </c>
      <c r="V57" s="176">
        <f>(PI()*SQRT(((S57*Constants!$AF$47+$S$49*Constants!$AF$47)/2)^3/Constants!$AF$48))/(Constants!$AF$46)</f>
        <v>16630.731029772731</v>
      </c>
      <c r="W57" s="178">
        <v>37044</v>
      </c>
      <c r="X57" s="176">
        <f t="shared" si="1"/>
        <v>-116.05879731005602</v>
      </c>
      <c r="Y57" s="176">
        <f t="shared" si="2"/>
        <v>16514.672232462675</v>
      </c>
      <c r="Z57" s="176">
        <f t="shared" si="3"/>
        <v>-16514.672232462675</v>
      </c>
      <c r="AA57" s="179">
        <f t="shared" si="4"/>
        <v>116.05879731005602</v>
      </c>
    </row>
    <row r="58" spans="5:44" ht="15" thickBot="1">
      <c r="E58" s="153" t="s">
        <v>129</v>
      </c>
      <c r="F58" s="191">
        <v>0.2</v>
      </c>
      <c r="G58" s="191">
        <v>1.5</v>
      </c>
      <c r="H58" s="191">
        <v>0.2</v>
      </c>
      <c r="I58" s="191">
        <v>1</v>
      </c>
      <c r="K58" s="192">
        <v>0.5</v>
      </c>
      <c r="L58" s="141">
        <f>F58+(G58-F58)*K58</f>
        <v>0.85000000000000009</v>
      </c>
      <c r="M58" s="193">
        <f>H58+(I58-H58)*K58</f>
        <v>0.60000000000000009</v>
      </c>
      <c r="N58" s="139"/>
      <c r="O58" s="139"/>
      <c r="P58" s="139"/>
      <c r="R58" s="194" t="s">
        <v>292</v>
      </c>
      <c r="S58" s="195">
        <v>3</v>
      </c>
      <c r="T58" s="196">
        <f>(2*PI()*SQRT((S58*Constants!$AF$47)^3/Constants!$AF$48))/(Constants!$AF$46)</f>
        <v>1897.9305171553774</v>
      </c>
      <c r="U58" s="197">
        <f t="shared" si="0"/>
        <v>452.30266056914235</v>
      </c>
      <c r="V58" s="196">
        <f>(PI()*SQRT(((S58*Constants!$AF$47+$S$49*Constants!$AF$47)/2)^3/Constants!$AF$48))/(Constants!$AF$46)</f>
        <v>516.55128067299165</v>
      </c>
      <c r="W58" s="198">
        <v>37408</v>
      </c>
      <c r="X58" s="196">
        <f t="shared" si="1"/>
        <v>-103.05013324024083</v>
      </c>
      <c r="Y58" s="196">
        <f t="shared" si="2"/>
        <v>413.50114743275083</v>
      </c>
      <c r="Z58" s="196">
        <f t="shared" si="3"/>
        <v>-413.50114743275083</v>
      </c>
      <c r="AA58" s="199">
        <f t="shared" si="4"/>
        <v>103.05013324024083</v>
      </c>
    </row>
    <row r="59" spans="5:44" ht="15" thickBot="1">
      <c r="E59" s="154" t="s">
        <v>130</v>
      </c>
      <c r="F59" s="200">
        <v>0.8</v>
      </c>
      <c r="G59" s="200">
        <v>3.5</v>
      </c>
      <c r="H59" s="200">
        <v>5</v>
      </c>
      <c r="I59" s="200">
        <v>20</v>
      </c>
      <c r="J59" s="134"/>
      <c r="K59" s="201">
        <v>0.5</v>
      </c>
      <c r="L59" s="202">
        <f>F59+(G59-F59)*K59</f>
        <v>2.1500000000000004</v>
      </c>
      <c r="M59" s="203">
        <f>H59+(I59-H59)*K59</f>
        <v>12.5</v>
      </c>
      <c r="N59" s="139"/>
      <c r="O59" s="139"/>
      <c r="P59" s="139"/>
    </row>
    <row r="60" spans="5:44">
      <c r="M60" s="139"/>
      <c r="N60" s="139"/>
      <c r="O60" s="139"/>
      <c r="P60" s="139"/>
    </row>
    <row r="61" spans="5:44" ht="15" thickBot="1">
      <c r="M61" s="139"/>
      <c r="N61" s="139"/>
      <c r="O61" s="139"/>
      <c r="P61" s="139"/>
    </row>
    <row r="62" spans="5:44">
      <c r="E62" s="204" t="s">
        <v>293</v>
      </c>
      <c r="F62" s="205"/>
      <c r="G62" s="205"/>
      <c r="H62" s="206"/>
      <c r="I62" s="206"/>
      <c r="J62" s="206"/>
      <c r="K62" s="206"/>
      <c r="L62" s="206"/>
      <c r="M62" s="207"/>
    </row>
    <row r="63" spans="5:44" ht="15" thickBot="1">
      <c r="E63" s="118"/>
      <c r="M63" s="119"/>
    </row>
    <row r="64" spans="5:44">
      <c r="E64" s="118"/>
      <c r="F64" s="117" t="s">
        <v>131</v>
      </c>
      <c r="G64" s="117" t="s">
        <v>132</v>
      </c>
      <c r="H64" s="117" t="s">
        <v>133</v>
      </c>
      <c r="I64" s="117"/>
      <c r="J64" s="117"/>
      <c r="K64" s="117" t="s">
        <v>131</v>
      </c>
      <c r="L64" s="117"/>
      <c r="M64" s="99" t="s">
        <v>133</v>
      </c>
      <c r="T64" s="208" t="s">
        <v>131</v>
      </c>
      <c r="U64" s="144" t="s">
        <v>132</v>
      </c>
      <c r="V64" s="102"/>
      <c r="W64" s="102"/>
      <c r="X64" s="144" t="s">
        <v>134</v>
      </c>
      <c r="Y64" s="144"/>
      <c r="Z64" s="144"/>
      <c r="AA64" s="144"/>
      <c r="AB64" s="144" t="s">
        <v>135</v>
      </c>
      <c r="AC64" s="144"/>
      <c r="AD64" s="144"/>
      <c r="AE64" s="144" t="s">
        <v>136</v>
      </c>
      <c r="AF64" s="102"/>
      <c r="AG64" s="144" t="s">
        <v>131</v>
      </c>
      <c r="AH64" s="144"/>
      <c r="AI64" s="144"/>
      <c r="AJ64" s="102"/>
      <c r="AK64" s="144" t="s">
        <v>134</v>
      </c>
      <c r="AL64" s="144"/>
      <c r="AM64" s="144"/>
      <c r="AN64" s="144"/>
      <c r="AO64" s="144" t="s">
        <v>135</v>
      </c>
      <c r="AP64" s="144"/>
      <c r="AQ64" s="144"/>
      <c r="AR64" s="94" t="s">
        <v>136</v>
      </c>
    </row>
    <row r="65" spans="5:44">
      <c r="E65" s="118"/>
      <c r="F65" s="117" t="s">
        <v>88</v>
      </c>
      <c r="G65" s="117" t="s">
        <v>88</v>
      </c>
      <c r="H65" s="117" t="s">
        <v>137</v>
      </c>
      <c r="I65" s="117"/>
      <c r="J65" s="117"/>
      <c r="K65" s="117" t="s">
        <v>88</v>
      </c>
      <c r="L65" s="117" t="s">
        <v>138</v>
      </c>
      <c r="M65" s="99" t="s">
        <v>137</v>
      </c>
      <c r="T65" s="209" t="s">
        <v>88</v>
      </c>
      <c r="U65" s="117" t="s">
        <v>88</v>
      </c>
      <c r="AG65" s="117" t="s">
        <v>88</v>
      </c>
      <c r="AH65" s="117" t="s">
        <v>138</v>
      </c>
      <c r="AI65" s="117"/>
      <c r="AR65" s="119"/>
    </row>
    <row r="66" spans="5:44">
      <c r="E66" s="118" t="s">
        <v>139</v>
      </c>
      <c r="F66" s="95">
        <v>0.2</v>
      </c>
      <c r="G66" s="95">
        <v>10</v>
      </c>
      <c r="H66" s="210">
        <f>INDEX(MMULT(AA66:AC68,AE66:AE68),1,1)</f>
        <v>1.1829442382747484</v>
      </c>
      <c r="K66" s="95">
        <v>7</v>
      </c>
      <c r="L66" s="95">
        <v>1.1000000000000001</v>
      </c>
      <c r="M66" s="211">
        <f>INDEX(MMULT(AN66:AP68,AR66:AR68),1,1)</f>
        <v>0.93286813193897444</v>
      </c>
      <c r="T66" s="118">
        <f t="shared" ref="T66:U69" si="5">LOG(F66)</f>
        <v>-0.69897000433601875</v>
      </c>
      <c r="U66" s="95">
        <f t="shared" si="5"/>
        <v>1</v>
      </c>
      <c r="W66" s="95">
        <f>4</f>
        <v>4</v>
      </c>
      <c r="X66" s="95">
        <f>W67</f>
        <v>2.204119982655925</v>
      </c>
      <c r="Y66" s="95">
        <f>X67</f>
        <v>4.2812487254895908</v>
      </c>
      <c r="AA66" s="95">
        <f>INDEX(MINVERSE(W66:Y68),1,1)</f>
        <v>0.51014699027108712</v>
      </c>
      <c r="AB66" s="95">
        <f>INDEX(MINVERSE(W66:Y68),2)</f>
        <v>0.11058393226860654</v>
      </c>
      <c r="AC66" s="95">
        <f>INDEX(MINVERSE(W66:Y68),3)</f>
        <v>-0.29998916164614614</v>
      </c>
      <c r="AE66" s="95">
        <f>U66+U67+U68+U69</f>
        <v>6.0492180226701819</v>
      </c>
      <c r="AG66" s="95">
        <f t="shared" ref="AG66:AH69" si="6">LOG(K66)</f>
        <v>0.84509804001425681</v>
      </c>
      <c r="AH66" s="95">
        <f t="shared" si="6"/>
        <v>4.1392685158225077E-2</v>
      </c>
      <c r="AJ66" s="95">
        <f>4</f>
        <v>4</v>
      </c>
      <c r="AK66" s="95">
        <f>AJ67</f>
        <v>5.8662873390841952</v>
      </c>
      <c r="AL66" s="95">
        <f>AK67</f>
        <v>9.1869637512785118</v>
      </c>
      <c r="AN66" s="95">
        <f>INDEX(MINVERSE(AJ66:AL68),1,1)</f>
        <v>72.295517299365471</v>
      </c>
      <c r="AO66" s="95">
        <f>INDEX(MINVERSE(AJ66:AL68),2)</f>
        <v>-117.33151108467169</v>
      </c>
      <c r="AP66" s="95">
        <f>INDEX(MINVERSE(AJ66:AL68),3)</f>
        <v>43.552831989620259</v>
      </c>
      <c r="AR66" s="119">
        <f>AH66+AH67+AH68+AH69</f>
        <v>0.95763601562356471</v>
      </c>
    </row>
    <row r="67" spans="5:44">
      <c r="E67" s="118"/>
      <c r="F67" s="95">
        <v>2</v>
      </c>
      <c r="G67" s="95">
        <v>20</v>
      </c>
      <c r="H67" s="210">
        <f>INDEX(MMULT(AA66:AC68,AE66:AE68),2,1)</f>
        <v>0.35039787768968989</v>
      </c>
      <c r="K67" s="95">
        <v>30</v>
      </c>
      <c r="L67" s="95">
        <v>1.4</v>
      </c>
      <c r="M67" s="211">
        <f>INDEX(MMULT(AN66:AP68,AR66:AR68),2,1)</f>
        <v>-1.7328494292437142</v>
      </c>
      <c r="T67" s="118">
        <f t="shared" si="5"/>
        <v>0.3010299956639812</v>
      </c>
      <c r="U67" s="95">
        <f t="shared" si="5"/>
        <v>1.3010299956639813</v>
      </c>
      <c r="W67" s="95">
        <f>T66+T67+T68+T69</f>
        <v>2.204119982655925</v>
      </c>
      <c r="X67" s="95">
        <f>W68</f>
        <v>4.2812487254895908</v>
      </c>
      <c r="Y67" s="95">
        <f>T66^3+T67^3+T68^3+T69^3</f>
        <v>5.3264007461631149</v>
      </c>
      <c r="AA67" s="95">
        <f>INDEX(MINVERSE(W66:Y68),2,1)</f>
        <v>0.11058393226860654</v>
      </c>
      <c r="AB67" s="95">
        <f>INDEX(MINVERSE(W66:Y68),2,2)</f>
        <v>0.84895110258993822</v>
      </c>
      <c r="AC67" s="95">
        <f>INDEX(MINVERSE(W66:Y68),2,3)</f>
        <v>-0.54038575353412144</v>
      </c>
      <c r="AE67" s="95">
        <f>T66*U66+T67*U67+T68*U68+T69*U69</f>
        <v>4.7856905444280091</v>
      </c>
      <c r="AG67" s="95">
        <f t="shared" si="6"/>
        <v>1.4771212547196624</v>
      </c>
      <c r="AH67" s="95">
        <f t="shared" si="6"/>
        <v>0.14612803567823801</v>
      </c>
      <c r="AJ67" s="95">
        <f>AG66+AG67+AG68+AG69</f>
        <v>5.8662873390841952</v>
      </c>
      <c r="AK67" s="95">
        <f>AJ68</f>
        <v>9.1869637512785118</v>
      </c>
      <c r="AL67" s="95">
        <f>AG66^3+AG67^3+AG68^3+AG69^3</f>
        <v>15.011975835868084</v>
      </c>
      <c r="AN67" s="95">
        <f>INDEX(MINVERSE(AJ66:AL68),2,1)</f>
        <v>-117.33151108467169</v>
      </c>
      <c r="AO67" s="95">
        <f>INDEX(MINVERSE(AJ66:AL68),2,2)</f>
        <v>194.56416200674056</v>
      </c>
      <c r="AP67" s="95">
        <f>INDEX(MINVERSE(AJ66:AL68),2,3)</f>
        <v>-73.151832757308554</v>
      </c>
      <c r="AR67" s="119">
        <f>AG66*AH66+AG67*AH67+AG68*AH68+AG69*AH69</f>
        <v>1.6310342093601122</v>
      </c>
    </row>
    <row r="68" spans="5:44">
      <c r="E68" s="118"/>
      <c r="F68" s="95">
        <v>8</v>
      </c>
      <c r="G68" s="95">
        <v>40</v>
      </c>
      <c r="H68" s="210">
        <f>INDEX(MMULT(AA66:AC68,AE66:AE68),3,1)</f>
        <v>0.12732782896484807</v>
      </c>
      <c r="K68" s="95">
        <v>50</v>
      </c>
      <c r="L68" s="95">
        <v>1.9</v>
      </c>
      <c r="M68" s="211">
        <f>INDEX(MMULT(AN66:AP68,AR66:AR68),3,1)</f>
        <v>0.80457007944009717</v>
      </c>
      <c r="T68" s="118">
        <f t="shared" si="5"/>
        <v>0.90308998699194354</v>
      </c>
      <c r="U68" s="95">
        <f t="shared" si="5"/>
        <v>1.6020599913279623</v>
      </c>
      <c r="W68" s="95">
        <f>T66^2+T67^2+T68^2+T69^2</f>
        <v>4.2812487254895908</v>
      </c>
      <c r="X68" s="95">
        <f>Y67</f>
        <v>5.3264007461631149</v>
      </c>
      <c r="Y68" s="95">
        <f>T66^4+T67^4+T68^4+T69^4</f>
        <v>9.2439356010154867</v>
      </c>
      <c r="AA68" s="95">
        <f>INDEX(MINVERSE(W66:Y68),3,1)</f>
        <v>-0.29998916164614614</v>
      </c>
      <c r="AB68" s="95">
        <f>INDEX(MINVERSE(W66:Y68),3,2)</f>
        <v>-0.54038575353412133</v>
      </c>
      <c r="AC68" s="95">
        <f>INDEX(MINVERSE(W66:Y68),3,3)</f>
        <v>0.55848931879525177</v>
      </c>
      <c r="AE68" s="95">
        <f>U66*T66^2+U67*T67^2+U68*T68^2+U69*T69^2</f>
        <v>8.1078482807875343</v>
      </c>
      <c r="AG68" s="95">
        <f t="shared" si="6"/>
        <v>1.6989700043360187</v>
      </c>
      <c r="AH68" s="95">
        <f t="shared" si="6"/>
        <v>0.27875360095282892</v>
      </c>
      <c r="AJ68" s="95">
        <f>AG66^2+AG67^2+AG68^2+AG69^2</f>
        <v>9.1869637512785118</v>
      </c>
      <c r="AK68" s="95">
        <f>AL67</f>
        <v>15.011975835868084</v>
      </c>
      <c r="AL68" s="95">
        <f>AG66^4+AG67^4+AG68^4+AG69^4</f>
        <v>25.192426353383205</v>
      </c>
      <c r="AN68" s="95">
        <f>INDEX(MINVERSE(AJ66:AL68),3,1)</f>
        <v>43.552831989620259</v>
      </c>
      <c r="AO68" s="95">
        <f>INDEX(MINVERSE(AJ66:AL68),3,2)</f>
        <v>-73.151832757308654</v>
      </c>
      <c r="AP68" s="95">
        <f>INDEX(MINVERSE(AJ66:AL68),3,3)</f>
        <v>27.747833699795244</v>
      </c>
      <c r="AR68" s="119">
        <f>AH66*AG66^2+AH67*AG67^2+AH68*AG68^2+AH69*AG69^2</f>
        <v>2.8258044262718891</v>
      </c>
    </row>
    <row r="69" spans="5:44">
      <c r="E69" s="118"/>
      <c r="F69" s="95">
        <v>50</v>
      </c>
      <c r="G69" s="95">
        <v>140</v>
      </c>
      <c r="H69" s="210"/>
      <c r="K69" s="95">
        <v>70</v>
      </c>
      <c r="L69" s="95">
        <v>3.1</v>
      </c>
      <c r="M69" s="211"/>
      <c r="T69" s="118">
        <f t="shared" si="5"/>
        <v>1.6989700043360187</v>
      </c>
      <c r="U69" s="95">
        <f t="shared" si="5"/>
        <v>2.1461280356782382</v>
      </c>
      <c r="AG69" s="95">
        <f t="shared" si="6"/>
        <v>1.8450980400142569</v>
      </c>
      <c r="AH69" s="95">
        <f t="shared" si="6"/>
        <v>0.49136169383427269</v>
      </c>
      <c r="AR69" s="119"/>
    </row>
    <row r="70" spans="5:44">
      <c r="E70" s="118"/>
      <c r="H70" s="210"/>
      <c r="M70" s="211"/>
      <c r="T70" s="118"/>
      <c r="AR70" s="119"/>
    </row>
    <row r="71" spans="5:44">
      <c r="E71" s="118" t="s">
        <v>140</v>
      </c>
      <c r="F71" s="95">
        <v>1</v>
      </c>
      <c r="G71" s="95">
        <v>10</v>
      </c>
      <c r="H71" s="210">
        <f>INDEX(MMULT(AA71:AC73,AE71:AE73),1,1)</f>
        <v>1.0018770507054953</v>
      </c>
      <c r="K71" s="95">
        <v>1</v>
      </c>
      <c r="L71" s="95">
        <v>2</v>
      </c>
      <c r="M71" s="211">
        <f>INDEX(MMULT(AN71:AP73,AR71:AR73),1,1)</f>
        <v>0.30492967970573259</v>
      </c>
      <c r="O71" s="212"/>
      <c r="T71" s="118">
        <f t="shared" ref="T71:U74" si="7">LOG(F71)</f>
        <v>0</v>
      </c>
      <c r="U71" s="95">
        <f t="shared" si="7"/>
        <v>1</v>
      </c>
      <c r="W71" s="95">
        <f>4</f>
        <v>4</v>
      </c>
      <c r="X71" s="95">
        <f>W72</f>
        <v>4.0334237554869503</v>
      </c>
      <c r="Y71" s="95">
        <f>X72</f>
        <v>6.1172622037907569</v>
      </c>
      <c r="AA71" s="95">
        <f>INDEX(MINVERSE(W71:Y73),1,1)</f>
        <v>0.97478186774907949</v>
      </c>
      <c r="AB71" s="95">
        <f>INDEX(MINVERSE(W71:Y73),2)</f>
        <v>-1.5401004160574805</v>
      </c>
      <c r="AC71" s="95">
        <f>INDEX(MINVERSE(W71:Y73),3)</f>
        <v>0.54154130109257181</v>
      </c>
      <c r="AE71" s="95">
        <f>U71+U72+U73+U74</f>
        <v>6.0492180226701819</v>
      </c>
      <c r="AG71" s="95">
        <f t="shared" ref="AG71:AH74" si="8">LOG(K71)</f>
        <v>0</v>
      </c>
      <c r="AH71" s="95">
        <f t="shared" si="8"/>
        <v>0.3010299956639812</v>
      </c>
      <c r="AJ71" s="95">
        <f>4</f>
        <v>4</v>
      </c>
      <c r="AK71" s="95">
        <f>AJ72</f>
        <v>3.924279286061882</v>
      </c>
      <c r="AL71" s="95">
        <f>AK72</f>
        <v>5.7025851953554998</v>
      </c>
      <c r="AN71" s="95">
        <f>INDEX(MINVERSE(AJ71:AL73),1,1)</f>
        <v>0.9791790260008465</v>
      </c>
      <c r="AO71" s="95">
        <f>INDEX(MINVERSE(AJ71:AL73),2)</f>
        <v>-1.6042833840484394</v>
      </c>
      <c r="AP71" s="95">
        <f>INDEX(MINVERSE(AJ71:AL73),3)</f>
        <v>0.59252774544134124</v>
      </c>
      <c r="AR71" s="119">
        <f>AH71+AH72+AH73+AH74</f>
        <v>2.2253092817258628</v>
      </c>
    </row>
    <row r="72" spans="5:44">
      <c r="E72" s="118"/>
      <c r="F72" s="95">
        <v>6</v>
      </c>
      <c r="G72" s="95">
        <v>20</v>
      </c>
      <c r="H72" s="210">
        <f>INDEX(MMULT(AA71:AC73,AE71:AE73),2,1)</f>
        <v>0.23566263382873132</v>
      </c>
      <c r="K72" s="95">
        <v>6</v>
      </c>
      <c r="L72" s="95">
        <v>3</v>
      </c>
      <c r="M72" s="211">
        <f>INDEX(MMULT(AN71:AP73,AR71:AR73),2,1)</f>
        <v>0.13455113460149271</v>
      </c>
      <c r="O72" s="212"/>
      <c r="T72" s="118">
        <f t="shared" si="7"/>
        <v>0.77815125038364363</v>
      </c>
      <c r="U72" s="95">
        <f t="shared" si="7"/>
        <v>1.3010299956639813</v>
      </c>
      <c r="W72" s="95">
        <f>T71+T72+T73+T74</f>
        <v>4.0334237554869503</v>
      </c>
      <c r="X72" s="95">
        <f>W73</f>
        <v>6.1172622037907569</v>
      </c>
      <c r="Y72" s="95">
        <f>T71^3+T72^3+T73^3+T74^3</f>
        <v>10.136788666568179</v>
      </c>
      <c r="AA72" s="95">
        <f>INDEX(MINVERSE(W71:Y73),2,1)</f>
        <v>-1.5401004160574805</v>
      </c>
      <c r="AB72" s="95">
        <f>INDEX(MINVERSE(W71:Y73),2,2)</f>
        <v>5.2898664517637126</v>
      </c>
      <c r="AC72" s="95">
        <f>INDEX(MINVERSE(W71:Y73),2,3)</f>
        <v>-2.4808273440139752</v>
      </c>
      <c r="AE72" s="95">
        <f>T71*U71+T72*U72+T73*U73+T74*U74</f>
        <v>7.2907808595053387</v>
      </c>
      <c r="AG72" s="95">
        <f t="shared" si="8"/>
        <v>0.77815125038364363</v>
      </c>
      <c r="AH72" s="95">
        <f t="shared" si="8"/>
        <v>0.47712125471966244</v>
      </c>
      <c r="AJ72" s="95">
        <f>AG71+AG72+AG73+AG74</f>
        <v>3.924279286061882</v>
      </c>
      <c r="AK72" s="95">
        <f>AJ73</f>
        <v>5.7025851953554998</v>
      </c>
      <c r="AL72" s="95">
        <f>AG71^3+AG72^3+AG73^3+AG74^3</f>
        <v>8.9548392404746231</v>
      </c>
      <c r="AN72" s="95">
        <f>INDEX(MINVERSE(AJ71:AL73),2,1)</f>
        <v>-1.6042833840484394</v>
      </c>
      <c r="AO72" s="95">
        <f>INDEX(MINVERSE(AJ71:AL73),2,2)</f>
        <v>6.0493649449030098</v>
      </c>
      <c r="AP72" s="95">
        <f>INDEX(MINVERSE(AJ71:AL73),2,3)</f>
        <v>-3.0376159965178968</v>
      </c>
      <c r="AR72" s="119">
        <f>AG71*AH71+AG72*AH72+AG73*AH73+AG74*AH74</f>
        <v>2.7138593461017892</v>
      </c>
    </row>
    <row r="73" spans="5:44">
      <c r="E73" s="118"/>
      <c r="F73" s="95">
        <v>20</v>
      </c>
      <c r="G73" s="95">
        <v>40</v>
      </c>
      <c r="H73" s="210">
        <f>INDEX(MMULT(AA71:AC73,AE71:AE73),3,1)</f>
        <v>0.17837760062116992</v>
      </c>
      <c r="K73" s="95">
        <v>20</v>
      </c>
      <c r="L73" s="95">
        <v>4</v>
      </c>
      <c r="M73" s="211">
        <f>INDEX(MMULT(AN71:AP73,AR71:AR73),3,1)</f>
        <v>8.3746987744985013E-2</v>
      </c>
      <c r="T73" s="118">
        <f t="shared" si="7"/>
        <v>1.3010299956639813</v>
      </c>
      <c r="U73" s="95">
        <f t="shared" si="7"/>
        <v>1.6020599913279623</v>
      </c>
      <c r="W73" s="95">
        <f>T71^2+T72^2+T73^2+T74^2</f>
        <v>6.1172622037907569</v>
      </c>
      <c r="X73" s="95">
        <f>Y72</f>
        <v>10.136788666568179</v>
      </c>
      <c r="Y73" s="95">
        <f>T71^4+T72^4+T73^4+T74^4</f>
        <v>17.817064269853432</v>
      </c>
      <c r="AA73" s="95">
        <f>INDEX(MINVERSE(W71:Y73),3,1)</f>
        <v>0.54154130109257181</v>
      </c>
      <c r="AB73" s="95">
        <f>INDEX(MINVERSE(W71:Y73),3,2)</f>
        <v>-2.4808273440139748</v>
      </c>
      <c r="AC73" s="95">
        <f>INDEX(MINVERSE(W71:Y73),3,3)</f>
        <v>1.2816293428421182</v>
      </c>
      <c r="AE73" s="95">
        <f>U71*T71^2+U72*T72^2+U73*T73^2+U74*T74^2</f>
        <v>11.695772105424421</v>
      </c>
      <c r="AG73" s="95">
        <f t="shared" si="8"/>
        <v>1.3010299956639813</v>
      </c>
      <c r="AH73" s="95">
        <f t="shared" si="8"/>
        <v>0.6020599913279624</v>
      </c>
      <c r="AJ73" s="95">
        <f>AG71^2+AG72^2+AG73^2+AG74^2</f>
        <v>5.7025851953554998</v>
      </c>
      <c r="AK73" s="95">
        <f>AL72</f>
        <v>8.9548392404746231</v>
      </c>
      <c r="AL73" s="95">
        <f>AG71^4+AG72^4+AG73^4+AG74^4</f>
        <v>14.821665399823477</v>
      </c>
      <c r="AN73" s="95">
        <f>INDEX(MINVERSE(AJ71:AL73),3,1)</f>
        <v>0.59252774544134124</v>
      </c>
      <c r="AO73" s="95">
        <f>INDEX(MINVERSE(AJ71:AL73),3,2)</f>
        <v>-3.0376159965178964</v>
      </c>
      <c r="AP73" s="95">
        <f>INDEX(MINVERSE(AJ71:AL73),3,3)</f>
        <v>1.6747391271170073</v>
      </c>
      <c r="AR73" s="119">
        <f>AH71*AG71^2+AH72*AG72^2+AH73*AG73^2+AH74*AG74^2</f>
        <v>4.1850410876935236</v>
      </c>
    </row>
    <row r="74" spans="5:44" ht="15" thickBot="1">
      <c r="E74" s="133"/>
      <c r="F74" s="134">
        <v>90</v>
      </c>
      <c r="G74" s="134">
        <v>140</v>
      </c>
      <c r="H74" s="213"/>
      <c r="I74" s="134"/>
      <c r="J74" s="134"/>
      <c r="K74" s="134">
        <v>70</v>
      </c>
      <c r="L74" s="134">
        <v>7</v>
      </c>
      <c r="M74" s="136"/>
      <c r="T74" s="118">
        <f t="shared" si="7"/>
        <v>1.954242509439325</v>
      </c>
      <c r="U74" s="95">
        <f t="shared" si="7"/>
        <v>2.1461280356782382</v>
      </c>
      <c r="AG74" s="95">
        <f t="shared" si="8"/>
        <v>1.8450980400142569</v>
      </c>
      <c r="AH74" s="95">
        <f t="shared" si="8"/>
        <v>0.84509804001425681</v>
      </c>
      <c r="AR74" s="119"/>
    </row>
    <row r="75" spans="5:44" ht="15" thickBot="1">
      <c r="T75" s="133"/>
      <c r="U75" s="134"/>
      <c r="V75" s="134"/>
      <c r="W75" s="134"/>
      <c r="X75" s="134"/>
      <c r="Y75" s="134"/>
      <c r="Z75" s="134"/>
      <c r="AA75" s="134"/>
      <c r="AB75" s="134"/>
      <c r="AC75" s="134"/>
      <c r="AD75" s="134"/>
      <c r="AE75" s="134"/>
      <c r="AF75" s="134"/>
      <c r="AG75" s="134"/>
      <c r="AH75" s="134"/>
      <c r="AI75" s="134"/>
      <c r="AJ75" s="134"/>
      <c r="AK75" s="134"/>
      <c r="AL75" s="134"/>
      <c r="AM75" s="134"/>
      <c r="AN75" s="134"/>
      <c r="AO75" s="134"/>
      <c r="AP75" s="134"/>
      <c r="AQ75" s="134"/>
      <c r="AR75" s="136"/>
    </row>
    <row r="76" spans="5:44" ht="15" thickBot="1"/>
    <row r="77" spans="5:44">
      <c r="E77" s="204" t="s">
        <v>294</v>
      </c>
      <c r="F77" s="214"/>
      <c r="G77" s="214"/>
      <c r="H77" s="214"/>
      <c r="I77" s="214"/>
      <c r="J77" s="104"/>
      <c r="K77" s="105"/>
    </row>
    <row r="78" spans="5:44">
      <c r="E78" s="118"/>
      <c r="K78" s="119"/>
    </row>
    <row r="79" spans="5:44">
      <c r="E79" s="118" t="s">
        <v>141</v>
      </c>
      <c r="G79" s="95" t="s">
        <v>142</v>
      </c>
      <c r="H79" s="95">
        <f>-28.1815/100</f>
        <v>-0.28181499999999998</v>
      </c>
      <c r="I79" s="95" t="s">
        <v>143</v>
      </c>
      <c r="J79" s="215" t="s">
        <v>144</v>
      </c>
      <c r="K79" s="119">
        <f>168.1814/100</f>
        <v>1.6818139999999999</v>
      </c>
    </row>
    <row r="80" spans="5:44" ht="15" thickBot="1">
      <c r="E80" s="133" t="s">
        <v>145</v>
      </c>
      <c r="F80" s="134"/>
      <c r="G80" s="134" t="s">
        <v>142</v>
      </c>
      <c r="H80" s="134">
        <f>-28.1815/100</f>
        <v>-0.28181499999999998</v>
      </c>
      <c r="I80" s="134" t="s">
        <v>143</v>
      </c>
      <c r="J80" s="216" t="s">
        <v>144</v>
      </c>
      <c r="K80" s="136">
        <f>(168.1814-22.1818)/100</f>
        <v>1.4599959999999998</v>
      </c>
    </row>
    <row r="82" spans="5:44" ht="15" thickBot="1"/>
    <row r="83" spans="5:44">
      <c r="E83" s="204" t="s">
        <v>295</v>
      </c>
      <c r="F83" s="205"/>
      <c r="G83" s="206"/>
      <c r="H83" s="206"/>
      <c r="I83" s="206"/>
      <c r="J83" s="206"/>
      <c r="K83" s="206"/>
      <c r="L83" s="207"/>
      <c r="M83" s="217"/>
    </row>
    <row r="84" spans="5:44" ht="15" thickBot="1">
      <c r="E84" s="218" t="s">
        <v>146</v>
      </c>
      <c r="F84" s="157"/>
      <c r="G84" s="157"/>
      <c r="J84" s="157" t="s">
        <v>147</v>
      </c>
      <c r="K84" s="157"/>
      <c r="L84" s="116"/>
      <c r="N84" s="157" t="s">
        <v>96</v>
      </c>
    </row>
    <row r="85" spans="5:44">
      <c r="E85" s="209" t="s">
        <v>148</v>
      </c>
      <c r="F85" s="117" t="s">
        <v>149</v>
      </c>
      <c r="G85" s="117" t="s">
        <v>133</v>
      </c>
      <c r="H85" s="117"/>
      <c r="I85" s="117"/>
      <c r="J85" s="117" t="s">
        <v>148</v>
      </c>
      <c r="K85" s="117" t="s">
        <v>149</v>
      </c>
      <c r="L85" s="99" t="s">
        <v>133</v>
      </c>
      <c r="T85" s="208" t="s">
        <v>148</v>
      </c>
      <c r="U85" s="144" t="s">
        <v>149</v>
      </c>
      <c r="V85" s="102"/>
      <c r="W85" s="102"/>
      <c r="X85" s="144" t="s">
        <v>134</v>
      </c>
      <c r="Y85" s="144"/>
      <c r="Z85" s="144"/>
      <c r="AA85" s="144"/>
      <c r="AB85" s="144" t="s">
        <v>135</v>
      </c>
      <c r="AC85" s="144"/>
      <c r="AD85" s="144"/>
      <c r="AE85" s="144" t="s">
        <v>136</v>
      </c>
      <c r="AF85" s="102"/>
      <c r="AG85" s="144" t="s">
        <v>148</v>
      </c>
      <c r="AH85" s="144" t="s">
        <v>149</v>
      </c>
      <c r="AI85" s="144"/>
      <c r="AJ85" s="102"/>
      <c r="AK85" s="144" t="s">
        <v>134</v>
      </c>
      <c r="AL85" s="144"/>
      <c r="AM85" s="144"/>
      <c r="AN85" s="144"/>
      <c r="AO85" s="144" t="s">
        <v>135</v>
      </c>
      <c r="AP85" s="144"/>
      <c r="AQ85" s="144"/>
      <c r="AR85" s="94" t="s">
        <v>136</v>
      </c>
    </row>
    <row r="86" spans="5:44">
      <c r="E86" s="209" t="s">
        <v>150</v>
      </c>
      <c r="F86" s="117" t="s">
        <v>151</v>
      </c>
      <c r="G86" s="117" t="s">
        <v>137</v>
      </c>
      <c r="H86" s="117"/>
      <c r="I86" s="117"/>
      <c r="J86" s="117" t="s">
        <v>150</v>
      </c>
      <c r="K86" s="117" t="s">
        <v>151</v>
      </c>
      <c r="L86" s="99" t="s">
        <v>137</v>
      </c>
      <c r="T86" s="209" t="s">
        <v>150</v>
      </c>
      <c r="U86" s="117" t="s">
        <v>151</v>
      </c>
      <c r="AG86" s="117" t="s">
        <v>150</v>
      </c>
      <c r="AH86" s="117" t="s">
        <v>151</v>
      </c>
      <c r="AI86" s="117"/>
      <c r="AR86" s="119"/>
    </row>
    <row r="87" spans="5:44">
      <c r="E87" s="118">
        <v>1</v>
      </c>
      <c r="F87" s="95">
        <v>4</v>
      </c>
      <c r="G87" s="210">
        <f>INDEX(MMULT(AA87:AC89,AE87:AE89),1,1)</f>
        <v>0.6017184917250864</v>
      </c>
      <c r="J87" s="95">
        <v>300</v>
      </c>
      <c r="K87" s="95">
        <v>90</v>
      </c>
      <c r="L87" s="211">
        <f>INDEX(MMULT(AN87:AO88,AR87:AR88),1,1)</f>
        <v>-0.51024360722774986</v>
      </c>
      <c r="T87" s="118">
        <f t="shared" ref="T87:U90" si="9">LOG(E87)</f>
        <v>0</v>
      </c>
      <c r="U87" s="95">
        <f t="shared" si="9"/>
        <v>0.6020599913279624</v>
      </c>
      <c r="W87" s="95">
        <f>4</f>
        <v>4</v>
      </c>
      <c r="X87" s="95">
        <f>W88</f>
        <v>6.1760912590556813</v>
      </c>
      <c r="Y87" s="95">
        <f>X88</f>
        <v>13.022628786217448</v>
      </c>
      <c r="AA87" s="95">
        <f>INDEX(MINVERSE(W87:Y89),1,1)</f>
        <v>0.99928092012534531</v>
      </c>
      <c r="AB87" s="95">
        <f>INDEX(MINVERSE(W87:Y89),2)</f>
        <v>-0.96887778466405383</v>
      </c>
      <c r="AC87" s="95">
        <f>INDEX(MINVERSE(W87:Y89),3)</f>
        <v>0.22935107692054904</v>
      </c>
      <c r="AE87" s="95">
        <f>U87+U88+U89+U90</f>
        <v>5.2402496315187994</v>
      </c>
      <c r="AG87" s="95">
        <f t="shared" ref="AG87:AH89" si="10">LOG(J87)</f>
        <v>2.4771212547196626</v>
      </c>
      <c r="AH87" s="95">
        <f t="shared" si="10"/>
        <v>1.954242509439325</v>
      </c>
      <c r="AJ87" s="95">
        <v>3</v>
      </c>
      <c r="AK87" s="95">
        <f>AJ88</f>
        <v>8.9542425094393252</v>
      </c>
      <c r="AN87" s="95">
        <f>INDEX(MINVERSE(AJ87:AK88),1,1)</f>
        <v>18.13834224815108</v>
      </c>
      <c r="AO87" s="95">
        <f>INDEX(MINVERSE(AJ87:AK88),2)</f>
        <v>-5.9653317059644682</v>
      </c>
      <c r="AR87" s="119">
        <f>AH87+AH88+AH89</f>
        <v>7.380753770803901</v>
      </c>
    </row>
    <row r="88" spans="5:44">
      <c r="E88" s="118">
        <v>50</v>
      </c>
      <c r="F88" s="95">
        <v>16.100000000000001</v>
      </c>
      <c r="G88" s="210">
        <f>INDEX(MMULT(AA87:AC89,AE87:AE89),2,1)</f>
        <v>-4.755720848801559E-2</v>
      </c>
      <c r="J88" s="95">
        <v>1000</v>
      </c>
      <c r="K88" s="95">
        <v>300</v>
      </c>
      <c r="L88" s="211">
        <f>INDEX(MMULT(AN87:AO88,AR87:AR88),2,1)</f>
        <v>0.99522484264780786</v>
      </c>
      <c r="T88" s="118">
        <f t="shared" si="9"/>
        <v>1.6989700043360187</v>
      </c>
      <c r="U88" s="95">
        <f t="shared" si="9"/>
        <v>1.2068258760318498</v>
      </c>
      <c r="W88" s="95">
        <f>T87+T88+T89+T90</f>
        <v>6.1760912590556813</v>
      </c>
      <c r="X88" s="95">
        <f>W89</f>
        <v>13.022628786217448</v>
      </c>
      <c r="Y88" s="95">
        <f>T87^3+T88^3+T89^3+T90^3</f>
        <v>28.104012674849244</v>
      </c>
      <c r="AA88" s="95">
        <f>INDEX(MINVERSE(W87:Y89),2,1)</f>
        <v>-0.96887778466405383</v>
      </c>
      <c r="AB88" s="95">
        <f>INDEX(MINVERSE(W87:Y89),2,2)</f>
        <v>4.5101853008225978</v>
      </c>
      <c r="AC88" s="95">
        <f>INDEX(MINVERSE(W87:Y89),2,3)</f>
        <v>-1.8413951029499336</v>
      </c>
      <c r="AE88" s="95">
        <f>T87*U87+T88*U88+T89*U89+T90*U90</f>
        <v>9.8454991302828176</v>
      </c>
      <c r="AG88" s="95">
        <f t="shared" si="10"/>
        <v>3</v>
      </c>
      <c r="AH88" s="95">
        <f t="shared" si="10"/>
        <v>2.4771212547196626</v>
      </c>
      <c r="AJ88" s="95">
        <f>AG87+AG88+AG89</f>
        <v>8.9542425094393252</v>
      </c>
      <c r="AK88" s="95">
        <f>AG87^2+AG88^2+AG89^2</f>
        <v>27.226501930607157</v>
      </c>
      <c r="AN88" s="95">
        <f>INDEX(MINVERSE(AJ87:AK88),2,1)</f>
        <v>-5.9653317059644682</v>
      </c>
      <c r="AO88" s="95">
        <f>INDEX(MINVERSE(AJ87:AK88),2,2)</f>
        <v>1.9986051415323987</v>
      </c>
      <c r="AR88" s="119">
        <f>AG87*AH87+AG88*AH88+AG89*AH89</f>
        <v>22.527646101730625</v>
      </c>
    </row>
    <row r="89" spans="5:44">
      <c r="E89" s="118">
        <v>100</v>
      </c>
      <c r="F89" s="95">
        <v>30</v>
      </c>
      <c r="G89" s="210">
        <f>INDEX(MMULT(AA87:AC89,AE87:AE89),3,1)</f>
        <v>0.24012765591352192</v>
      </c>
      <c r="J89" s="95">
        <v>3000</v>
      </c>
      <c r="K89" s="95">
        <v>890</v>
      </c>
      <c r="L89" s="211"/>
      <c r="T89" s="118">
        <f t="shared" si="9"/>
        <v>2</v>
      </c>
      <c r="U89" s="95">
        <f t="shared" si="9"/>
        <v>1.4771212547196624</v>
      </c>
      <c r="W89" s="95">
        <f>T87^2+T88^2+T89^2+T90^2</f>
        <v>13.022628786217448</v>
      </c>
      <c r="X89" s="95">
        <f>Y88</f>
        <v>28.104012674849244</v>
      </c>
      <c r="Y89" s="95">
        <f>T87^4+T88^4+T89^4+T90^4</f>
        <v>61.983964738743879</v>
      </c>
      <c r="AA89" s="95">
        <f>INDEX(MINVERSE(W87:Y89),3,1)</f>
        <v>0.22935107692054904</v>
      </c>
      <c r="AB89" s="95">
        <f>INDEX(MINVERSE(W87:Y89),3,2)</f>
        <v>-1.8413951029499331</v>
      </c>
      <c r="AC89" s="95">
        <f>INDEX(MINVERSE(W87:Y89),3,3)</f>
        <v>0.8028501820753845</v>
      </c>
      <c r="AE89" s="95">
        <f>U87*T87^2+U88*T88^2+U89*T89^2+U90*T90^2</f>
        <v>21.38347231835192</v>
      </c>
      <c r="AG89" s="95">
        <f t="shared" si="10"/>
        <v>3.4771212547196626</v>
      </c>
      <c r="AH89" s="95">
        <f t="shared" si="10"/>
        <v>2.9493900066449128</v>
      </c>
      <c r="AR89" s="119"/>
    </row>
    <row r="90" spans="5:44" ht="15" thickBot="1">
      <c r="E90" s="133">
        <v>300</v>
      </c>
      <c r="F90" s="134">
        <v>90</v>
      </c>
      <c r="G90" s="213"/>
      <c r="H90" s="134"/>
      <c r="I90" s="134"/>
      <c r="J90" s="134"/>
      <c r="K90" s="134"/>
      <c r="L90" s="219"/>
      <c r="T90" s="133">
        <f t="shared" si="9"/>
        <v>2.4771212547196626</v>
      </c>
      <c r="U90" s="134">
        <f t="shared" si="9"/>
        <v>1.954242509439325</v>
      </c>
      <c r="V90" s="134"/>
      <c r="W90" s="134"/>
      <c r="X90" s="134"/>
      <c r="Y90" s="134"/>
      <c r="Z90" s="134"/>
      <c r="AA90" s="134"/>
      <c r="AB90" s="134"/>
      <c r="AC90" s="134"/>
      <c r="AD90" s="134"/>
      <c r="AE90" s="134"/>
      <c r="AF90" s="134"/>
      <c r="AG90" s="134"/>
      <c r="AH90" s="134"/>
      <c r="AI90" s="134"/>
      <c r="AJ90" s="134"/>
      <c r="AK90" s="134"/>
      <c r="AL90" s="134"/>
      <c r="AM90" s="134"/>
      <c r="AN90" s="134"/>
      <c r="AO90" s="134"/>
      <c r="AP90" s="134"/>
      <c r="AQ90" s="134"/>
      <c r="AR90" s="136"/>
    </row>
    <row r="92" spans="5:44" ht="15" thickBot="1"/>
    <row r="93" spans="5:44">
      <c r="E93" s="220" t="s">
        <v>296</v>
      </c>
      <c r="F93" s="221"/>
      <c r="G93" s="102"/>
      <c r="H93" s="102"/>
      <c r="I93" s="102"/>
      <c r="J93" s="102"/>
      <c r="K93" s="102"/>
      <c r="L93" s="102"/>
      <c r="M93" s="102"/>
      <c r="N93" s="142"/>
    </row>
    <row r="94" spans="5:44">
      <c r="E94" s="118"/>
      <c r="N94" s="119"/>
    </row>
    <row r="95" spans="5:44">
      <c r="E95" s="222" t="s">
        <v>152</v>
      </c>
      <c r="F95" s="223" t="s">
        <v>153</v>
      </c>
      <c r="G95" s="224" t="s">
        <v>152</v>
      </c>
      <c r="H95" s="223" t="s">
        <v>153</v>
      </c>
      <c r="I95" s="117"/>
      <c r="J95" s="224" t="s">
        <v>152</v>
      </c>
      <c r="K95" s="223" t="s">
        <v>153</v>
      </c>
      <c r="L95" s="224" t="s">
        <v>152</v>
      </c>
      <c r="M95" s="223" t="s">
        <v>153</v>
      </c>
      <c r="N95" s="225">
        <v>1.0169999999999999</v>
      </c>
    </row>
    <row r="96" spans="5:44">
      <c r="E96" s="222" t="s">
        <v>154</v>
      </c>
      <c r="F96" s="223" t="s">
        <v>155</v>
      </c>
      <c r="G96" s="224" t="s">
        <v>154</v>
      </c>
      <c r="H96" s="223" t="s">
        <v>155</v>
      </c>
      <c r="I96" s="117"/>
      <c r="J96" s="224" t="s">
        <v>154</v>
      </c>
      <c r="K96" s="223" t="s">
        <v>155</v>
      </c>
      <c r="L96" s="224" t="s">
        <v>154</v>
      </c>
      <c r="M96" s="223" t="s">
        <v>155</v>
      </c>
      <c r="N96" s="225">
        <v>1.022</v>
      </c>
    </row>
    <row r="97" spans="5:14">
      <c r="E97" s="222"/>
      <c r="F97" s="224" t="s">
        <v>156</v>
      </c>
      <c r="G97" s="224"/>
      <c r="H97" s="224" t="s">
        <v>156</v>
      </c>
      <c r="I97" s="117"/>
      <c r="J97" s="224"/>
      <c r="K97" s="224" t="s">
        <v>156</v>
      </c>
      <c r="L97" s="224"/>
      <c r="M97" s="224" t="s">
        <v>156</v>
      </c>
      <c r="N97" s="119"/>
    </row>
    <row r="98" spans="5:14">
      <c r="E98" s="222">
        <v>1981</v>
      </c>
      <c r="F98" s="223">
        <v>0.51</v>
      </c>
      <c r="G98" s="224">
        <f>E107+1</f>
        <v>1991</v>
      </c>
      <c r="H98" s="223">
        <v>0.83699999999999997</v>
      </c>
      <c r="J98" s="224">
        <f>G107+1</f>
        <v>2001</v>
      </c>
      <c r="K98" s="223">
        <f>ROUND(H107*$N$95,3)</f>
        <v>1.0169999999999999</v>
      </c>
      <c r="L98" s="224">
        <f>J107+1</f>
        <v>2011</v>
      </c>
      <c r="M98" s="223">
        <f>K107*$N$96</f>
        <v>1.2519500000000001</v>
      </c>
      <c r="N98" s="119"/>
    </row>
    <row r="99" spans="5:14">
      <c r="E99" s="222">
        <f t="shared" ref="E99:E107" si="11">E98+1</f>
        <v>1982</v>
      </c>
      <c r="F99" s="223">
        <v>0.55900000000000005</v>
      </c>
      <c r="G99" s="224">
        <f t="shared" ref="G99:G107" si="12">G98+1</f>
        <v>1992</v>
      </c>
      <c r="H99" s="223">
        <v>0.86</v>
      </c>
      <c r="J99" s="224">
        <f t="shared" ref="J99:J107" si="13">J98+1</f>
        <v>2002</v>
      </c>
      <c r="K99" s="223">
        <f>ROUND(K98*$N$95,3)</f>
        <v>1.034</v>
      </c>
      <c r="L99" s="224">
        <f t="shared" ref="L99:L107" si="14">L98+1</f>
        <v>2012</v>
      </c>
      <c r="M99" s="223">
        <f t="shared" ref="M99:M107" si="15">M98*$N$96</f>
        <v>1.2794929000000002</v>
      </c>
      <c r="N99" s="119"/>
    </row>
    <row r="100" spans="5:14">
      <c r="E100" s="222">
        <f t="shared" si="11"/>
        <v>1983</v>
      </c>
      <c r="F100" s="223">
        <v>0.61</v>
      </c>
      <c r="G100" s="224">
        <f t="shared" si="12"/>
        <v>1993</v>
      </c>
      <c r="H100" s="223">
        <v>0.88300000000000001</v>
      </c>
      <c r="J100" s="224">
        <f t="shared" si="13"/>
        <v>2003</v>
      </c>
      <c r="K100" s="223">
        <f>ROUND(K99*$N$95,3)</f>
        <v>1.052</v>
      </c>
      <c r="L100" s="224">
        <f t="shared" si="14"/>
        <v>2013</v>
      </c>
      <c r="M100" s="223">
        <f t="shared" si="15"/>
        <v>1.3076417438000001</v>
      </c>
      <c r="N100" s="226"/>
    </row>
    <row r="101" spans="5:14">
      <c r="E101" s="222">
        <f t="shared" si="11"/>
        <v>1984</v>
      </c>
      <c r="F101" s="223">
        <v>0.65800000000000003</v>
      </c>
      <c r="G101" s="224">
        <f t="shared" si="12"/>
        <v>1994</v>
      </c>
      <c r="H101" s="223">
        <v>0.90100000000000002</v>
      </c>
      <c r="J101" s="224">
        <f t="shared" si="13"/>
        <v>2004</v>
      </c>
      <c r="K101" s="223">
        <f t="shared" ref="K101:K107" si="16">ROUND(K100*$N$96,3)</f>
        <v>1.075</v>
      </c>
      <c r="L101" s="224">
        <f t="shared" si="14"/>
        <v>2014</v>
      </c>
      <c r="M101" s="223">
        <f t="shared" si="15"/>
        <v>1.3364098621636</v>
      </c>
      <c r="N101" s="226"/>
    </row>
    <row r="102" spans="5:14">
      <c r="E102" s="222">
        <f t="shared" si="11"/>
        <v>1985</v>
      </c>
      <c r="F102" s="223">
        <v>0.68100000000000005</v>
      </c>
      <c r="G102" s="224">
        <f t="shared" si="12"/>
        <v>1995</v>
      </c>
      <c r="H102" s="223">
        <v>0.91800000000000004</v>
      </c>
      <c r="J102" s="224">
        <f t="shared" si="13"/>
        <v>2005</v>
      </c>
      <c r="K102" s="223">
        <f t="shared" si="16"/>
        <v>1.099</v>
      </c>
      <c r="L102" s="224">
        <f t="shared" si="14"/>
        <v>2015</v>
      </c>
      <c r="M102" s="223">
        <f t="shared" si="15"/>
        <v>1.3658108791311994</v>
      </c>
      <c r="N102" s="119"/>
    </row>
    <row r="103" spans="5:14">
      <c r="E103" s="222">
        <f t="shared" si="11"/>
        <v>1986</v>
      </c>
      <c r="F103" s="223">
        <v>0.7</v>
      </c>
      <c r="G103" s="224">
        <f t="shared" si="12"/>
        <v>1996</v>
      </c>
      <c r="H103" s="223">
        <v>0.93700000000000006</v>
      </c>
      <c r="J103" s="224">
        <f t="shared" si="13"/>
        <v>2006</v>
      </c>
      <c r="K103" s="223">
        <f t="shared" si="16"/>
        <v>1.123</v>
      </c>
      <c r="L103" s="224">
        <f t="shared" si="14"/>
        <v>2016</v>
      </c>
      <c r="M103" s="223">
        <f t="shared" si="15"/>
        <v>1.3958587184720859</v>
      </c>
      <c r="N103" s="119"/>
    </row>
    <row r="104" spans="5:14">
      <c r="E104" s="222">
        <f t="shared" si="11"/>
        <v>1987</v>
      </c>
      <c r="F104" s="223">
        <v>0.71899999999999997</v>
      </c>
      <c r="G104" s="224">
        <f t="shared" si="12"/>
        <v>1997</v>
      </c>
      <c r="H104" s="223">
        <v>0.95799999999999996</v>
      </c>
      <c r="J104" s="224">
        <f t="shared" si="13"/>
        <v>2007</v>
      </c>
      <c r="K104" s="223">
        <f t="shared" si="16"/>
        <v>1.1479999999999999</v>
      </c>
      <c r="L104" s="224">
        <f t="shared" si="14"/>
        <v>2017</v>
      </c>
      <c r="M104" s="223">
        <f t="shared" si="15"/>
        <v>1.4265676102784717</v>
      </c>
      <c r="N104" s="119"/>
    </row>
    <row r="105" spans="5:14">
      <c r="E105" s="222">
        <f t="shared" si="11"/>
        <v>1988</v>
      </c>
      <c r="F105" s="223">
        <v>0.74</v>
      </c>
      <c r="G105" s="224">
        <f t="shared" si="12"/>
        <v>1998</v>
      </c>
      <c r="H105" s="223">
        <v>0.97</v>
      </c>
      <c r="J105" s="224">
        <f t="shared" si="13"/>
        <v>2008</v>
      </c>
      <c r="K105" s="223">
        <f t="shared" si="16"/>
        <v>1.173</v>
      </c>
      <c r="L105" s="224">
        <f t="shared" si="14"/>
        <v>2018</v>
      </c>
      <c r="M105" s="223">
        <f t="shared" si="15"/>
        <v>1.4579520977045981</v>
      </c>
      <c r="N105" s="119"/>
    </row>
    <row r="106" spans="5:14">
      <c r="E106" s="222">
        <f t="shared" si="11"/>
        <v>1989</v>
      </c>
      <c r="F106" s="223">
        <v>0.77100000000000002</v>
      </c>
      <c r="G106" s="224">
        <f t="shared" si="12"/>
        <v>1999</v>
      </c>
      <c r="H106" s="223">
        <v>0.98399999999999999</v>
      </c>
      <c r="J106" s="224">
        <f t="shared" si="13"/>
        <v>2009</v>
      </c>
      <c r="K106" s="223">
        <f t="shared" si="16"/>
        <v>1.1990000000000001</v>
      </c>
      <c r="L106" s="224">
        <f t="shared" si="14"/>
        <v>2019</v>
      </c>
      <c r="M106" s="223">
        <f t="shared" si="15"/>
        <v>1.4900270438540992</v>
      </c>
      <c r="N106" s="119"/>
    </row>
    <row r="107" spans="5:14" ht="15" thickBot="1">
      <c r="E107" s="227">
        <f t="shared" si="11"/>
        <v>1990</v>
      </c>
      <c r="F107" s="228">
        <v>0.80200000000000005</v>
      </c>
      <c r="G107" s="229">
        <f t="shared" si="12"/>
        <v>2000</v>
      </c>
      <c r="H107" s="228">
        <v>1</v>
      </c>
      <c r="I107" s="134"/>
      <c r="J107" s="229">
        <f t="shared" si="13"/>
        <v>2010</v>
      </c>
      <c r="K107" s="228">
        <f t="shared" si="16"/>
        <v>1.2250000000000001</v>
      </c>
      <c r="L107" s="229">
        <f t="shared" si="14"/>
        <v>2020</v>
      </c>
      <c r="M107" s="228">
        <f t="shared" si="15"/>
        <v>1.5228076388188894</v>
      </c>
      <c r="N107" s="136"/>
    </row>
    <row r="109" spans="5:14" ht="15" thickBot="1">
      <c r="M109" s="230"/>
    </row>
    <row r="110" spans="5:14">
      <c r="E110" s="220" t="s">
        <v>297</v>
      </c>
      <c r="F110" s="221"/>
      <c r="G110" s="221"/>
      <c r="H110" s="102"/>
      <c r="I110" s="142"/>
      <c r="M110" s="230"/>
    </row>
    <row r="111" spans="5:14" ht="15" thickBot="1">
      <c r="E111" s="133"/>
      <c r="F111" s="134"/>
      <c r="G111" s="134"/>
      <c r="H111" s="134"/>
      <c r="I111" s="136"/>
    </row>
    <row r="112" spans="5:14">
      <c r="E112" s="231"/>
      <c r="F112" s="102"/>
      <c r="G112" s="232" t="s">
        <v>157</v>
      </c>
      <c r="H112" s="232" t="s">
        <v>158</v>
      </c>
      <c r="I112" s="233" t="s">
        <v>159</v>
      </c>
      <c r="M112" s="234" t="s">
        <v>298</v>
      </c>
      <c r="N112" s="142"/>
    </row>
    <row r="113" spans="5:18">
      <c r="E113" s="118"/>
      <c r="G113" s="224" t="s">
        <v>160</v>
      </c>
      <c r="H113" s="224" t="s">
        <v>161</v>
      </c>
      <c r="I113" s="235" t="s">
        <v>161</v>
      </c>
      <c r="M113" s="118"/>
      <c r="N113" s="119"/>
    </row>
    <row r="114" spans="5:18">
      <c r="E114" s="236" t="s">
        <v>89</v>
      </c>
      <c r="F114" s="237"/>
      <c r="G114" s="238">
        <v>0.4</v>
      </c>
      <c r="H114" s="239">
        <v>0.6</v>
      </c>
      <c r="I114" s="240">
        <f>1-H114</f>
        <v>0.4</v>
      </c>
      <c r="M114" s="241" t="s">
        <v>299</v>
      </c>
      <c r="N114" s="242" t="s">
        <v>300</v>
      </c>
      <c r="Q114" s="243"/>
      <c r="R114" s="243"/>
    </row>
    <row r="115" spans="5:18">
      <c r="E115" s="236" t="s">
        <v>162</v>
      </c>
      <c r="F115" s="237"/>
      <c r="G115" s="244">
        <f>SUM(G116:G122)</f>
        <v>0.99999999999999989</v>
      </c>
      <c r="H115" s="245">
        <f>SUMPRODUCT((G116:G122),(H116:H122))</f>
        <v>0.59983999999999993</v>
      </c>
      <c r="I115" s="246">
        <f>SUMPRODUCT((G116:G122),(I116:I122))</f>
        <v>0.40016000000000002</v>
      </c>
      <c r="M115" s="241" t="s">
        <v>301</v>
      </c>
      <c r="N115" s="242">
        <v>1000</v>
      </c>
      <c r="Q115" s="243"/>
      <c r="R115" s="247"/>
    </row>
    <row r="116" spans="5:18">
      <c r="E116" s="236"/>
      <c r="F116" s="237" t="s">
        <v>0</v>
      </c>
      <c r="G116" s="238">
        <v>0.184</v>
      </c>
      <c r="H116" s="239">
        <v>0.37</v>
      </c>
      <c r="I116" s="240">
        <f t="shared" ref="I116:I126" si="17">1-H116</f>
        <v>0.63</v>
      </c>
      <c r="M116" s="241" t="s">
        <v>302</v>
      </c>
      <c r="N116" s="242">
        <v>1000</v>
      </c>
      <c r="Q116" s="243"/>
      <c r="R116" s="247"/>
    </row>
    <row r="117" spans="5:18">
      <c r="E117" s="236"/>
      <c r="F117" s="237" t="s">
        <v>117</v>
      </c>
      <c r="G117" s="248">
        <v>0.17</v>
      </c>
      <c r="H117" s="249">
        <v>0.7</v>
      </c>
      <c r="I117" s="240">
        <f t="shared" si="17"/>
        <v>0.30000000000000004</v>
      </c>
      <c r="M117" s="241" t="s">
        <v>303</v>
      </c>
      <c r="N117" s="242">
        <v>1000</v>
      </c>
      <c r="Q117" s="243"/>
      <c r="R117" s="247"/>
    </row>
    <row r="118" spans="5:18">
      <c r="E118" s="236"/>
      <c r="F118" s="237" t="s">
        <v>88</v>
      </c>
      <c r="G118" s="238">
        <v>0.23300000000000001</v>
      </c>
      <c r="H118" s="239">
        <v>0.62</v>
      </c>
      <c r="I118" s="240">
        <f t="shared" si="17"/>
        <v>0.38</v>
      </c>
      <c r="M118" s="241" t="s">
        <v>304</v>
      </c>
      <c r="N118" s="242">
        <v>3500</v>
      </c>
      <c r="Q118" s="243"/>
      <c r="R118" s="250"/>
    </row>
    <row r="119" spans="5:18">
      <c r="E119" s="236"/>
      <c r="F119" s="237" t="s">
        <v>86</v>
      </c>
      <c r="G119" s="238">
        <v>8.4000000000000005E-2</v>
      </c>
      <c r="H119" s="239">
        <v>0.5</v>
      </c>
      <c r="I119" s="240">
        <f t="shared" si="17"/>
        <v>0.5</v>
      </c>
      <c r="M119" s="241"/>
      <c r="N119" s="242"/>
      <c r="Q119" s="243"/>
      <c r="R119" s="251"/>
    </row>
    <row r="120" spans="5:18">
      <c r="E120" s="236"/>
      <c r="F120" s="237" t="s">
        <v>113</v>
      </c>
      <c r="G120" s="238">
        <v>0.183</v>
      </c>
      <c r="H120" s="239">
        <v>0.7</v>
      </c>
      <c r="I120" s="240">
        <f t="shared" si="17"/>
        <v>0.30000000000000004</v>
      </c>
      <c r="M120" s="118"/>
      <c r="N120" s="119"/>
      <c r="Q120" s="243"/>
      <c r="R120" s="247"/>
    </row>
    <row r="121" spans="5:18">
      <c r="E121" s="236"/>
      <c r="F121" s="237" t="s">
        <v>114</v>
      </c>
      <c r="G121" s="238">
        <v>0.02</v>
      </c>
      <c r="H121" s="239">
        <v>0.5</v>
      </c>
      <c r="I121" s="240">
        <f t="shared" si="17"/>
        <v>0.5</v>
      </c>
      <c r="M121" s="118"/>
      <c r="N121" s="119"/>
      <c r="Q121" s="243"/>
      <c r="R121" s="247"/>
    </row>
    <row r="122" spans="5:18">
      <c r="E122" s="252"/>
      <c r="F122" s="237" t="s">
        <v>112</v>
      </c>
      <c r="G122" s="238">
        <v>0.126</v>
      </c>
      <c r="H122" s="249">
        <v>0.7</v>
      </c>
      <c r="I122" s="240">
        <f t="shared" si="17"/>
        <v>0.30000000000000004</v>
      </c>
      <c r="M122" s="118"/>
      <c r="N122" s="119"/>
      <c r="Q122" s="243"/>
      <c r="R122" s="247"/>
    </row>
    <row r="123" spans="5:18">
      <c r="E123" s="236" t="s">
        <v>163</v>
      </c>
      <c r="F123" s="237"/>
      <c r="G123" s="238">
        <v>0.13900000000000001</v>
      </c>
      <c r="H123" s="239">
        <v>0</v>
      </c>
      <c r="I123" s="240">
        <f t="shared" si="17"/>
        <v>1</v>
      </c>
      <c r="M123" s="241" t="s">
        <v>305</v>
      </c>
      <c r="N123" s="242"/>
      <c r="Q123" s="243"/>
      <c r="R123" s="247"/>
    </row>
    <row r="124" spans="5:18">
      <c r="E124" s="236" t="s">
        <v>164</v>
      </c>
      <c r="F124" s="237"/>
      <c r="G124" s="238">
        <v>0.22900000000000001</v>
      </c>
      <c r="H124" s="239">
        <v>0.5</v>
      </c>
      <c r="I124" s="240">
        <f t="shared" si="17"/>
        <v>0.5</v>
      </c>
      <c r="M124" s="241" t="s">
        <v>306</v>
      </c>
      <c r="N124" s="242">
        <v>800</v>
      </c>
      <c r="Q124" s="243"/>
      <c r="R124" s="247"/>
    </row>
    <row r="125" spans="5:18">
      <c r="E125" s="236" t="s">
        <v>165</v>
      </c>
      <c r="F125" s="237"/>
      <c r="G125" s="238">
        <v>6.6000000000000003E-2</v>
      </c>
      <c r="H125" s="239">
        <v>1</v>
      </c>
      <c r="I125" s="240">
        <f t="shared" si="17"/>
        <v>0</v>
      </c>
      <c r="M125" s="241" t="s">
        <v>127</v>
      </c>
      <c r="N125" s="242">
        <v>500</v>
      </c>
      <c r="Q125" s="243"/>
      <c r="R125" s="247"/>
    </row>
    <row r="126" spans="5:18" ht="15" thickBot="1">
      <c r="E126" s="253" t="s">
        <v>166</v>
      </c>
      <c r="F126" s="254"/>
      <c r="G126" s="255">
        <v>6.0999999999999999E-2</v>
      </c>
      <c r="H126" s="256">
        <v>0</v>
      </c>
      <c r="I126" s="257">
        <f t="shared" si="17"/>
        <v>1</v>
      </c>
      <c r="M126" s="241" t="s">
        <v>126</v>
      </c>
      <c r="N126" s="242">
        <v>1200</v>
      </c>
      <c r="Q126" s="243"/>
      <c r="R126" s="247"/>
    </row>
    <row r="127" spans="5:18">
      <c r="M127" s="241" t="s">
        <v>307</v>
      </c>
      <c r="N127" s="242">
        <v>200</v>
      </c>
      <c r="Q127" s="243"/>
      <c r="R127" s="247"/>
    </row>
    <row r="128" spans="5:18" ht="15" thickBot="1">
      <c r="M128" s="241" t="s">
        <v>308</v>
      </c>
      <c r="N128" s="242">
        <v>400</v>
      </c>
      <c r="Q128" s="243"/>
      <c r="R128" s="247"/>
    </row>
    <row r="129" spans="5:18">
      <c r="E129" s="220" t="s">
        <v>309</v>
      </c>
      <c r="F129" s="221"/>
      <c r="G129" s="102"/>
      <c r="H129" s="142"/>
      <c r="M129" s="241" t="s">
        <v>310</v>
      </c>
      <c r="N129" s="242">
        <v>2000</v>
      </c>
      <c r="Q129" s="243"/>
      <c r="R129" s="247"/>
    </row>
    <row r="130" spans="5:18">
      <c r="E130" s="118"/>
      <c r="H130" s="119"/>
      <c r="M130" s="241" t="s">
        <v>311</v>
      </c>
      <c r="N130" s="242">
        <v>300</v>
      </c>
      <c r="Q130" s="243"/>
      <c r="R130" s="250"/>
    </row>
    <row r="131" spans="5:18">
      <c r="E131" s="118" t="s">
        <v>167</v>
      </c>
      <c r="H131" s="258">
        <v>1.1000000000000001</v>
      </c>
      <c r="M131" s="241" t="s">
        <v>312</v>
      </c>
      <c r="N131" s="242">
        <v>2500</v>
      </c>
      <c r="Q131" s="243"/>
      <c r="R131" s="251"/>
    </row>
    <row r="132" spans="5:18">
      <c r="E132" s="118" t="s">
        <v>168</v>
      </c>
      <c r="H132" s="258">
        <v>1</v>
      </c>
      <c r="M132" s="118"/>
      <c r="N132" s="119"/>
      <c r="Q132" s="243"/>
      <c r="R132" s="247"/>
    </row>
    <row r="133" spans="5:18">
      <c r="E133" s="153" t="s">
        <v>169</v>
      </c>
      <c r="H133" s="258">
        <v>0.8</v>
      </c>
      <c r="M133" s="118"/>
      <c r="N133" s="119"/>
      <c r="Q133" s="243"/>
      <c r="R133" s="247"/>
    </row>
    <row r="134" spans="5:18">
      <c r="E134" s="153" t="s">
        <v>170</v>
      </c>
      <c r="H134" s="259">
        <v>0.5</v>
      </c>
      <c r="M134" s="118"/>
      <c r="N134" s="119"/>
      <c r="Q134" s="243"/>
      <c r="R134" s="247"/>
    </row>
    <row r="135" spans="5:18" ht="15" thickBot="1">
      <c r="E135" s="154" t="s">
        <v>171</v>
      </c>
      <c r="F135" s="134"/>
      <c r="G135" s="134"/>
      <c r="H135" s="260">
        <v>0.2</v>
      </c>
      <c r="M135" s="241" t="s">
        <v>313</v>
      </c>
      <c r="N135" s="242"/>
      <c r="Q135" s="243"/>
      <c r="R135" s="247"/>
    </row>
    <row r="136" spans="5:18">
      <c r="M136" s="241" t="s">
        <v>314</v>
      </c>
      <c r="N136" s="242">
        <v>2000</v>
      </c>
      <c r="Q136" s="243"/>
      <c r="R136" s="247"/>
    </row>
    <row r="137" spans="5:18">
      <c r="M137" s="241" t="s">
        <v>315</v>
      </c>
      <c r="N137" s="242">
        <v>8000</v>
      </c>
      <c r="Q137" s="243"/>
      <c r="R137" s="247"/>
    </row>
    <row r="138" spans="5:18">
      <c r="M138" s="241" t="s">
        <v>316</v>
      </c>
      <c r="N138" s="242">
        <v>800</v>
      </c>
      <c r="Q138" s="243"/>
      <c r="R138" s="247"/>
    </row>
    <row r="139" spans="5:18">
      <c r="M139" s="241" t="s">
        <v>317</v>
      </c>
      <c r="N139" s="242">
        <v>3500</v>
      </c>
      <c r="Q139" s="243"/>
      <c r="R139" s="247"/>
    </row>
    <row r="140" spans="5:18">
      <c r="M140" s="241" t="s">
        <v>318</v>
      </c>
      <c r="N140" s="242">
        <v>2000</v>
      </c>
      <c r="Q140" s="243"/>
      <c r="R140" s="247"/>
    </row>
    <row r="141" spans="5:18">
      <c r="M141" s="241" t="s">
        <v>319</v>
      </c>
      <c r="N141" s="242">
        <v>4000</v>
      </c>
      <c r="Q141" s="243"/>
      <c r="R141" s="247"/>
    </row>
    <row r="142" spans="5:18">
      <c r="M142" s="241" t="s">
        <v>320</v>
      </c>
      <c r="N142" s="242">
        <v>3000</v>
      </c>
      <c r="Q142" s="243"/>
      <c r="R142" s="247"/>
    </row>
    <row r="143" spans="5:18">
      <c r="M143" s="241" t="s">
        <v>321</v>
      </c>
      <c r="N143" s="242">
        <v>8500</v>
      </c>
      <c r="Q143" s="243"/>
      <c r="R143" s="250"/>
    </row>
    <row r="144" spans="5:18">
      <c r="M144" s="118"/>
      <c r="N144" s="119"/>
      <c r="Q144" s="243"/>
      <c r="R144" s="251"/>
    </row>
    <row r="145" spans="13:18">
      <c r="M145" s="118"/>
      <c r="N145" s="119"/>
      <c r="Q145" s="243"/>
      <c r="R145" s="247"/>
    </row>
    <row r="146" spans="13:18">
      <c r="M146" s="118"/>
      <c r="N146" s="119"/>
      <c r="Q146" s="243"/>
      <c r="R146" s="247"/>
    </row>
    <row r="147" spans="13:18">
      <c r="M147" s="241" t="s">
        <v>322</v>
      </c>
      <c r="N147" s="242"/>
      <c r="Q147" s="243"/>
      <c r="R147" s="247"/>
    </row>
    <row r="148" spans="13:18">
      <c r="M148" s="241" t="s">
        <v>323</v>
      </c>
      <c r="N148" s="242">
        <v>600</v>
      </c>
      <c r="Q148" s="243"/>
      <c r="R148" s="247"/>
    </row>
    <row r="149" spans="13:18">
      <c r="M149" s="241" t="s">
        <v>324</v>
      </c>
      <c r="N149" s="242">
        <v>800</v>
      </c>
      <c r="Q149" s="243"/>
      <c r="R149" s="247"/>
    </row>
    <row r="150" spans="13:18">
      <c r="M150" s="241" t="s">
        <v>325</v>
      </c>
      <c r="N150" s="242">
        <v>1200</v>
      </c>
      <c r="Q150" s="243"/>
      <c r="R150" s="247"/>
    </row>
    <row r="151" spans="13:18">
      <c r="M151" s="241" t="s">
        <v>326</v>
      </c>
      <c r="N151" s="242">
        <v>1500</v>
      </c>
      <c r="Q151" s="243"/>
      <c r="R151" s="250"/>
    </row>
    <row r="152" spans="13:18">
      <c r="M152" s="118"/>
      <c r="N152" s="119"/>
      <c r="Q152" s="243"/>
      <c r="R152" s="251"/>
    </row>
    <row r="153" spans="13:18">
      <c r="M153" s="118"/>
      <c r="N153" s="119"/>
      <c r="Q153" s="243"/>
      <c r="R153" s="247"/>
    </row>
    <row r="154" spans="13:18">
      <c r="M154" s="118"/>
      <c r="N154" s="119"/>
      <c r="Q154" s="243"/>
      <c r="R154" s="247"/>
    </row>
    <row r="155" spans="13:18">
      <c r="M155" s="241" t="s">
        <v>327</v>
      </c>
      <c r="N155" s="242"/>
      <c r="Q155" s="243"/>
      <c r="R155" s="247"/>
    </row>
    <row r="156" spans="13:18">
      <c r="M156" s="241" t="s">
        <v>328</v>
      </c>
      <c r="N156" s="242">
        <v>4000</v>
      </c>
      <c r="Q156" s="243"/>
      <c r="R156" s="247"/>
    </row>
    <row r="157" spans="13:18">
      <c r="M157" s="241" t="s">
        <v>329</v>
      </c>
      <c r="N157" s="242">
        <v>2500</v>
      </c>
      <c r="Q157" s="243"/>
      <c r="R157" s="247"/>
    </row>
    <row r="158" spans="13:18">
      <c r="M158" s="241" t="s">
        <v>330</v>
      </c>
      <c r="N158" s="242">
        <v>5000</v>
      </c>
      <c r="Q158" s="243"/>
      <c r="R158" s="250"/>
    </row>
    <row r="159" spans="13:18">
      <c r="M159" s="118"/>
      <c r="N159" s="119"/>
      <c r="Q159" s="243"/>
      <c r="R159" s="251"/>
    </row>
    <row r="160" spans="13:18">
      <c r="M160" s="118"/>
      <c r="N160" s="119"/>
      <c r="Q160" s="243"/>
      <c r="R160" s="247"/>
    </row>
    <row r="161" spans="13:18">
      <c r="M161" s="118"/>
      <c r="N161" s="119"/>
      <c r="Q161" s="243"/>
      <c r="R161" s="247"/>
    </row>
    <row r="162" spans="13:18">
      <c r="M162" s="241" t="s">
        <v>331</v>
      </c>
      <c r="N162" s="242"/>
      <c r="Q162" s="243"/>
      <c r="R162" s="247"/>
    </row>
    <row r="163" spans="13:18">
      <c r="M163" s="241" t="s">
        <v>332</v>
      </c>
      <c r="N163" s="242">
        <v>800</v>
      </c>
      <c r="Q163" s="243"/>
      <c r="R163" s="247"/>
    </row>
    <row r="164" spans="13:18">
      <c r="M164" s="241" t="s">
        <v>333</v>
      </c>
      <c r="N164" s="242">
        <v>1500</v>
      </c>
      <c r="Q164" s="243"/>
      <c r="R164" s="247"/>
    </row>
    <row r="165" spans="13:18">
      <c r="M165" s="241" t="s">
        <v>334</v>
      </c>
      <c r="N165" s="242">
        <v>1800</v>
      </c>
      <c r="Q165" s="243"/>
      <c r="R165" s="247"/>
    </row>
    <row r="166" spans="13:18">
      <c r="M166" s="241" t="s">
        <v>335</v>
      </c>
      <c r="N166" s="242">
        <v>1200</v>
      </c>
      <c r="Q166" s="243"/>
      <c r="R166" s="247"/>
    </row>
    <row r="167" spans="13:18">
      <c r="M167" s="241" t="s">
        <v>336</v>
      </c>
      <c r="N167" s="242">
        <v>2000</v>
      </c>
      <c r="Q167" s="243"/>
      <c r="R167" s="250"/>
    </row>
    <row r="168" spans="13:18">
      <c r="M168" s="118"/>
      <c r="N168" s="119"/>
      <c r="Q168" s="243"/>
      <c r="R168" s="251"/>
    </row>
    <row r="169" spans="13:18">
      <c r="M169" s="241"/>
      <c r="N169" s="242"/>
      <c r="Q169" s="243"/>
      <c r="R169" s="247"/>
    </row>
    <row r="170" spans="13:18">
      <c r="M170" s="118"/>
      <c r="N170" s="119"/>
      <c r="Q170" s="243"/>
      <c r="R170" s="247"/>
    </row>
    <row r="171" spans="13:18">
      <c r="M171" s="241" t="s">
        <v>292</v>
      </c>
      <c r="N171" s="242"/>
      <c r="Q171" s="243"/>
      <c r="R171" s="247"/>
    </row>
    <row r="172" spans="13:18">
      <c r="M172" s="241" t="s">
        <v>337</v>
      </c>
      <c r="N172" s="242">
        <v>3000</v>
      </c>
      <c r="Q172" s="243"/>
      <c r="R172" s="247"/>
    </row>
    <row r="173" spans="13:18">
      <c r="M173" s="241" t="s">
        <v>338</v>
      </c>
      <c r="N173" s="242">
        <v>1200</v>
      </c>
      <c r="Q173" s="243"/>
      <c r="R173" s="247"/>
    </row>
    <row r="174" spans="13:18" ht="15" thickBot="1">
      <c r="M174" s="261" t="s">
        <v>339</v>
      </c>
      <c r="N174" s="262">
        <v>800</v>
      </c>
      <c r="Q174" s="243"/>
      <c r="R174" s="250"/>
    </row>
    <row r="175" spans="13:18">
      <c r="Q175" s="243"/>
      <c r="R175" s="251"/>
    </row>
  </sheetData>
  <mergeCells count="11">
    <mergeCell ref="E29:G29"/>
    <mergeCell ref="E38:F38"/>
    <mergeCell ref="R45:R46"/>
    <mergeCell ref="S45:S46"/>
    <mergeCell ref="T45:T46"/>
    <mergeCell ref="V45:V46"/>
    <mergeCell ref="W45:W46"/>
    <mergeCell ref="X45:Y45"/>
    <mergeCell ref="Z45:AA45"/>
    <mergeCell ref="E51:F51"/>
    <mergeCell ref="U45:U46"/>
  </mergeCells>
  <pageMargins left="0.75" right="0.75" top="1" bottom="1" header="0.5" footer="0.5"/>
  <pageSetup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10</vt:i4>
      </vt:variant>
      <vt:variant>
        <vt:lpstr>Named Ranges</vt:lpstr>
      </vt:variant>
      <vt:variant>
        <vt:i4>61</vt:i4>
      </vt:variant>
    </vt:vector>
  </HeadingPairs>
  <TitlesOfParts>
    <vt:vector size="71" baseType="lpstr">
      <vt:lpstr>Workbook Description</vt:lpstr>
      <vt:lpstr>Cover</vt:lpstr>
      <vt:lpstr>Change Log</vt:lpstr>
      <vt:lpstr>Objectives</vt:lpstr>
      <vt:lpstr>Chemical Propulsion - Sizing</vt:lpstr>
      <vt:lpstr>Electric Propulsion - Sizing</vt:lpstr>
      <vt:lpstr>Modes</vt:lpstr>
      <vt:lpstr>ProductTreeMain</vt:lpstr>
      <vt:lpstr>Trade_off</vt:lpstr>
      <vt:lpstr>Constants</vt:lpstr>
      <vt:lpstr>AU</vt:lpstr>
      <vt:lpstr>Avg_Solar_Flux</vt:lpstr>
      <vt:lpstr>Constants!Boltzmann_Constant</vt:lpstr>
      <vt:lpstr>Boltzmann_Constant</vt:lpstr>
      <vt:lpstr>Burn_duration</vt:lpstr>
      <vt:lpstr>c0</vt:lpstr>
      <vt:lpstr>Chemical_propellant_mass</vt:lpstr>
      <vt:lpstr>Chemical_Thrust</vt:lpstr>
      <vt:lpstr>Constants!Earth_J2</vt:lpstr>
      <vt:lpstr>Earth_J2</vt:lpstr>
      <vt:lpstr>Constants!Earth_Mag_Moment</vt:lpstr>
      <vt:lpstr>Earth_Mag_Moment</vt:lpstr>
      <vt:lpstr>Constants!Earth_Mu</vt:lpstr>
      <vt:lpstr>Earth_Mu</vt:lpstr>
      <vt:lpstr>Earth_OrbitRadius</vt:lpstr>
      <vt:lpstr>Earth_OrbPeriod</vt:lpstr>
      <vt:lpstr>Constants!Earth_Radius</vt:lpstr>
      <vt:lpstr>Earth_Radius</vt:lpstr>
      <vt:lpstr>Earth_SidDay</vt:lpstr>
      <vt:lpstr>Earth_SolarDay</vt:lpstr>
      <vt:lpstr>Constants!Earth_Vel</vt:lpstr>
      <vt:lpstr>Earth_Vel</vt:lpstr>
      <vt:lpstr>Electric_propellant_mass</vt:lpstr>
      <vt:lpstr>Electric_Thrust</vt:lpstr>
      <vt:lpstr>Fuel_tank_volume</vt:lpstr>
      <vt:lpstr>Max_Solar_Flux</vt:lpstr>
      <vt:lpstr>mu</vt:lpstr>
      <vt:lpstr>Oxidizer_tank_volume</vt:lpstr>
      <vt:lpstr>Peak_source_power</vt:lpstr>
      <vt:lpstr>Constants!Planck_Constant</vt:lpstr>
      <vt:lpstr>Planck_Constant</vt:lpstr>
      <vt:lpstr>Planet_Albedo</vt:lpstr>
      <vt:lpstr>Planet_J2</vt:lpstr>
      <vt:lpstr>Planet_Mag_Moment</vt:lpstr>
      <vt:lpstr>Planet_MaxIR</vt:lpstr>
      <vt:lpstr>Planet_MinIR</vt:lpstr>
      <vt:lpstr>Planet_MoonNode</vt:lpstr>
      <vt:lpstr>Planet_MoonPer</vt:lpstr>
      <vt:lpstr>Planet_Mu</vt:lpstr>
      <vt:lpstr>Planet_OrbitRadius</vt:lpstr>
      <vt:lpstr>Planet_OrbPeriod</vt:lpstr>
      <vt:lpstr>Planet_Radius</vt:lpstr>
      <vt:lpstr>Planet_SidDay</vt:lpstr>
      <vt:lpstr>Planet_SolarDay</vt:lpstr>
      <vt:lpstr>Planet_SunNode</vt:lpstr>
      <vt:lpstr>Planet_SunPer</vt:lpstr>
      <vt:lpstr>Planet_Vel</vt:lpstr>
      <vt:lpstr>plank</vt:lpstr>
      <vt:lpstr>RadToDeg</vt:lpstr>
      <vt:lpstr>Constants!Rain_Temp</vt:lpstr>
      <vt:lpstr>Rain_Temp</vt:lpstr>
      <vt:lpstr>Re</vt:lpstr>
      <vt:lpstr>Constants!Solar_Flux</vt:lpstr>
      <vt:lpstr>Solar_Flux</vt:lpstr>
      <vt:lpstr>Constants!Speed_of_Light</vt:lpstr>
      <vt:lpstr>Speed_of_Light</vt:lpstr>
      <vt:lpstr>Constants!Stefan_Boltzmann_Constant</vt:lpstr>
      <vt:lpstr>Stefan_Boltzmann_Constant</vt:lpstr>
      <vt:lpstr>Stefan_Boltzmann_Constants</vt:lpstr>
      <vt:lpstr>Sun_Mu</vt:lpstr>
      <vt:lpstr>ve</vt:lpstr>
    </vt:vector>
  </TitlesOfParts>
  <Company>ISU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Paulo Esteves</dc:creator>
  <cp:lastModifiedBy>Student</cp:lastModifiedBy>
  <dcterms:created xsi:type="dcterms:W3CDTF">2009-07-16T12:59:16Z</dcterms:created>
  <dcterms:modified xsi:type="dcterms:W3CDTF">2020-01-14T16:28:35Z</dcterms:modified>
</cp:coreProperties>
</file>